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Public\Documents\"/>
    </mc:Choice>
  </mc:AlternateContent>
  <bookViews>
    <workbookView xWindow="0" yWindow="0" windowWidth="28800" windowHeight="14235" activeTab="2"/>
  </bookViews>
  <sheets>
    <sheet name="Navigation Page" sheetId="4" r:id="rId1"/>
    <sheet name="6399 S" sheetId="6" state="hidden" r:id="rId2"/>
    <sheet name="BS6399-2 Standard Method" sheetId="8" r:id="rId3"/>
    <sheet name="4-35 &amp; 5-35 Window Mullion" sheetId="1" r:id="rId4"/>
    <sheet name="Sheet1 (2)" sheetId="7" state="hidden" r:id="rId5"/>
    <sheet name="4-35 &amp; 5-35 Window Transom" sheetId="10" r:id="rId6"/>
    <sheet name="CW Mullion Single Span" sheetId="14" r:id="rId7"/>
    <sheet name="CW Mullion Twin Span" sheetId="15" r:id="rId8"/>
    <sheet name="CW Transom" sheetId="13" r:id="rId9"/>
  </sheets>
  <externalReferences>
    <externalReference r:id="rId10"/>
  </externalReferences>
  <definedNames>
    <definedName name="BP">'[1]DS Calc'!$P$28:$P$30</definedName>
    <definedName name="BSZ">'[1]CW SSM Calc'!$I$34:$I$35</definedName>
    <definedName name="CWMS">'[1]CW SSM Calc'!$R$19:$R$21</definedName>
    <definedName name="DDL">'[1]CW SSM Calc'!$P$1:$P$2</definedName>
    <definedName name="Direction">'6399 S'!$N$1:$N$4</definedName>
    <definedName name="DMW">'[1]DS Calc'!$A$18:$A$19</definedName>
    <definedName name="f">'[1]Window M Calc'!$B$1:$B$2</definedName>
    <definedName name="Head">'[1]DS Calc'!$D$1:$D$3</definedName>
    <definedName name="NBL">'[1]CW SSM Calc'!$K$34:$K$40</definedName>
    <definedName name="Non_Projecting">'[1]CW SSM Calc'!$V$1:$V$6</definedName>
    <definedName name="None">'[1]CW SSM Calc'!$R$1:$R$2</definedName>
    <definedName name="Place">'6399 S'!$R$1:$R$2</definedName>
    <definedName name="RRR">'[1]CW SSM Calc'!$A$14:$A$15</definedName>
    <definedName name="RRRR">'[1]DS Calc'!$A$1:$A$2</definedName>
    <definedName name="RRRRR">'[1]DS Calc'!$A$28:$A$29</definedName>
    <definedName name="Simon">'[1]Window M Calc'!$DD$1:$DD$7</definedName>
    <definedName name="System">'[1]DS Calc'!$S$18:$S$19</definedName>
    <definedName name="System17">'[1]DS Calc'!$N$20:$N$22</definedName>
    <definedName name="System18">'[1]CW T Calc'!$F$15:$F$17</definedName>
    <definedName name="WC">'[1]CW T Calc'!$A$14:$A$15</definedName>
    <definedName name="Wi">'[1]CW SSM Calc'!$A$18:$A$19</definedName>
    <definedName name="WiLo">'[1]Window M Calc'!$A$18:$A$19</definedName>
    <definedName name="WTS">'[1]WT Calc'!$I$1:$I$6</definedName>
  </definedNames>
  <calcPr calcId="152511"/>
</workbook>
</file>

<file path=xl/calcChain.xml><?xml version="1.0" encoding="utf-8"?>
<calcChain xmlns="http://schemas.openxmlformats.org/spreadsheetml/2006/main">
  <c r="M12" i="1" l="1"/>
  <c r="E13" i="1"/>
  <c r="E12" i="1"/>
  <c r="R12" i="1"/>
  <c r="O13" i="1"/>
  <c r="M13" i="1"/>
  <c r="J12" i="1"/>
  <c r="W29" i="15" l="1"/>
  <c r="Y26" i="15" s="1"/>
  <c r="AF22" i="15"/>
  <c r="Y15" i="15"/>
  <c r="W15" i="15"/>
  <c r="AL13" i="15"/>
  <c r="AL12" i="15"/>
  <c r="AL11" i="15"/>
  <c r="AL10" i="15"/>
  <c r="AL9" i="15"/>
  <c r="AL8" i="15"/>
  <c r="AL7" i="15"/>
  <c r="AL6" i="15"/>
  <c r="AG6" i="15"/>
  <c r="AF6" i="15"/>
  <c r="AF16" i="15" s="1"/>
  <c r="W6" i="15"/>
  <c r="AL5" i="15"/>
  <c r="W5" i="15"/>
  <c r="AL4" i="15"/>
  <c r="W4" i="15"/>
  <c r="AL3" i="15"/>
  <c r="W3" i="15"/>
  <c r="AS2" i="15"/>
  <c r="AL2" i="15"/>
  <c r="Z1" i="15"/>
  <c r="AA13" i="15" s="1"/>
  <c r="AA16" i="15" s="1"/>
  <c r="W1" i="15"/>
  <c r="Y27" i="15" l="1"/>
  <c r="W7" i="15"/>
  <c r="W10" i="15" s="1"/>
  <c r="Y25" i="15"/>
  <c r="W14" i="15"/>
  <c r="L31" i="13"/>
  <c r="L30" i="13"/>
  <c r="L29" i="13"/>
  <c r="K32" i="15"/>
  <c r="K31" i="15"/>
  <c r="K30" i="15"/>
  <c r="L35" i="14"/>
  <c r="L34" i="14"/>
  <c r="L36" i="14"/>
  <c r="AG7" i="10"/>
  <c r="AM8" i="1"/>
  <c r="AP22" i="1" s="1"/>
  <c r="W9" i="15" l="1"/>
  <c r="W11" i="15"/>
  <c r="Y7" i="15"/>
  <c r="Y14" i="15"/>
  <c r="AK18" i="10"/>
  <c r="C55" i="13"/>
  <c r="C56" i="13"/>
  <c r="C54" i="13"/>
  <c r="AA17" i="15" l="1"/>
  <c r="AL10" i="14"/>
  <c r="AL11" i="14"/>
  <c r="AL12" i="14"/>
  <c r="AL13" i="14"/>
  <c r="AO3" i="10" l="1"/>
  <c r="AO2" i="10"/>
  <c r="AL12" i="10"/>
  <c r="AL11" i="10"/>
  <c r="AL10" i="10"/>
  <c r="AL9" i="10"/>
  <c r="AL8" i="10"/>
  <c r="AL7" i="10"/>
  <c r="AL6" i="10"/>
  <c r="AL5" i="10"/>
  <c r="AL4" i="10"/>
  <c r="AL3" i="10"/>
  <c r="AL2" i="10"/>
  <c r="B109" i="15" l="1"/>
  <c r="D93" i="15"/>
  <c r="B95" i="15" s="1"/>
  <c r="G70" i="15" s="1"/>
  <c r="B93" i="15"/>
  <c r="L88" i="15"/>
  <c r="G88" i="15"/>
  <c r="L87" i="15"/>
  <c r="G87" i="15"/>
  <c r="N82" i="15"/>
  <c r="Q41" i="15"/>
  <c r="W2" i="15" s="1"/>
  <c r="P37" i="15"/>
  <c r="O12" i="15"/>
  <c r="M12" i="15"/>
  <c r="E12" i="15"/>
  <c r="R11" i="15"/>
  <c r="M11" i="15"/>
  <c r="J11" i="15"/>
  <c r="E11" i="15"/>
  <c r="X26" i="14"/>
  <c r="Z1" i="14"/>
  <c r="W5" i="14"/>
  <c r="W8" i="14" s="1"/>
  <c r="G52" i="14" s="1"/>
  <c r="W4" i="14"/>
  <c r="W3" i="14"/>
  <c r="W1" i="14"/>
  <c r="D93" i="14"/>
  <c r="B95" i="14" s="1"/>
  <c r="K68" i="14" s="1"/>
  <c r="G84" i="14" s="1"/>
  <c r="B93" i="14"/>
  <c r="G88" i="14"/>
  <c r="G87" i="14"/>
  <c r="Q43" i="14"/>
  <c r="W2" i="14" s="1"/>
  <c r="O39" i="14"/>
  <c r="AF23" i="14"/>
  <c r="R13" i="14"/>
  <c r="O13" i="14"/>
  <c r="M13" i="14"/>
  <c r="E13" i="14"/>
  <c r="R12" i="14"/>
  <c r="M12" i="14"/>
  <c r="J12" i="14"/>
  <c r="E12" i="14"/>
  <c r="AL9" i="14"/>
  <c r="AL8" i="14"/>
  <c r="AL7" i="14"/>
  <c r="AL6" i="14"/>
  <c r="AG6" i="14"/>
  <c r="AF6" i="14"/>
  <c r="AL5" i="14"/>
  <c r="AL4" i="14"/>
  <c r="AL3" i="14"/>
  <c r="AS2" i="14"/>
  <c r="AL2" i="14"/>
  <c r="Y13" i="15" l="1"/>
  <c r="Y16" i="15" s="1"/>
  <c r="W13" i="15"/>
  <c r="W16" i="15" s="1"/>
  <c r="Q60" i="15"/>
  <c r="Q56" i="15"/>
  <c r="W11" i="14"/>
  <c r="Y15" i="14"/>
  <c r="L89" i="15"/>
  <c r="W15" i="14"/>
  <c r="X27" i="14"/>
  <c r="P59" i="14" s="1"/>
  <c r="Y13" i="14"/>
  <c r="G52" i="15"/>
  <c r="Q58" i="15"/>
  <c r="G85" i="14"/>
  <c r="G86" i="14" s="1"/>
  <c r="G89" i="15"/>
  <c r="P57" i="14"/>
  <c r="L84" i="15"/>
  <c r="L85" i="15" s="1"/>
  <c r="L86" i="15" s="1"/>
  <c r="G84" i="15"/>
  <c r="G85" i="15" s="1"/>
  <c r="G86" i="15" s="1"/>
  <c r="G89" i="14"/>
  <c r="AA13" i="14"/>
  <c r="AA17" i="14" s="1"/>
  <c r="W14" i="14"/>
  <c r="Y14" i="14"/>
  <c r="W13" i="14"/>
  <c r="W10" i="14"/>
  <c r="AF17" i="14"/>
  <c r="X27" i="15" l="1"/>
  <c r="W17" i="15"/>
  <c r="X25" i="15"/>
  <c r="X26" i="15"/>
  <c r="Y17" i="15"/>
  <c r="G90" i="14"/>
  <c r="G91" i="14" s="1"/>
  <c r="G90" i="15"/>
  <c r="G91" i="15" s="1"/>
  <c r="L90" i="15"/>
  <c r="L91" i="15" s="1"/>
  <c r="Y16" i="14"/>
  <c r="W16" i="14"/>
  <c r="Z1" i="13"/>
  <c r="W18" i="15" l="1"/>
  <c r="W19" i="15" s="1"/>
  <c r="AQ15" i="15" s="1"/>
  <c r="AS16" i="15" s="1"/>
  <c r="AO15" i="15"/>
  <c r="AP16" i="15" s="1"/>
  <c r="AP15" i="15"/>
  <c r="O58" i="15"/>
  <c r="O60" i="15"/>
  <c r="O56" i="15"/>
  <c r="O84" i="15"/>
  <c r="W26" i="14"/>
  <c r="Y17" i="14"/>
  <c r="W17" i="14"/>
  <c r="AA13" i="13"/>
  <c r="Y21" i="13"/>
  <c r="C52" i="13"/>
  <c r="C51" i="13"/>
  <c r="C50" i="13"/>
  <c r="M33" i="13"/>
  <c r="W6" i="13"/>
  <c r="W5" i="13"/>
  <c r="W4" i="13"/>
  <c r="W3" i="13"/>
  <c r="W1" i="13"/>
  <c r="O37" i="13"/>
  <c r="Q11" i="13"/>
  <c r="N12" i="13"/>
  <c r="L12" i="13"/>
  <c r="L11" i="13"/>
  <c r="I11" i="13"/>
  <c r="D12" i="13"/>
  <c r="D11" i="13"/>
  <c r="AS15" i="15" l="1"/>
  <c r="AJ15" i="15" a="1"/>
  <c r="AJ15" i="15" s="1"/>
  <c r="AH15" i="15" s="1"/>
  <c r="AI16" i="15" s="1"/>
  <c r="AH19" i="15" s="1"/>
  <c r="AL15" i="15" a="1"/>
  <c r="AL15" i="15" s="1"/>
  <c r="AI15" i="15" s="1"/>
  <c r="Y14" i="13"/>
  <c r="Y24" i="13"/>
  <c r="W14" i="13"/>
  <c r="W18" i="14"/>
  <c r="W19" i="14" s="1"/>
  <c r="W27" i="14"/>
  <c r="N59" i="14" s="1"/>
  <c r="N57" i="14"/>
  <c r="W15" i="13"/>
  <c r="W11" i="13"/>
  <c r="Y15" i="13"/>
  <c r="W10" i="13"/>
  <c r="W22" i="13"/>
  <c r="W21" i="13"/>
  <c r="W2" i="13"/>
  <c r="W13" i="13" s="1"/>
  <c r="W8" i="13"/>
  <c r="F46" i="13" s="1"/>
  <c r="AL16" i="15" l="1"/>
  <c r="AI19" i="15" s="1"/>
  <c r="W20" i="15" s="1"/>
  <c r="Y22" i="15" s="1"/>
  <c r="AA22" i="15"/>
  <c r="AA17" i="13"/>
  <c r="O85" i="15"/>
  <c r="AS16" i="14"/>
  <c r="AL16" i="14"/>
  <c r="AJ16" i="14"/>
  <c r="AI16" i="14"/>
  <c r="Y13" i="13"/>
  <c r="Y16" i="13" s="1"/>
  <c r="Y17" i="13" s="1"/>
  <c r="AO16" i="14"/>
  <c r="AP16" i="14"/>
  <c r="AQ16" i="14"/>
  <c r="G92" i="14"/>
  <c r="AH16" i="14"/>
  <c r="W23" i="13"/>
  <c r="M48" i="13" s="1"/>
  <c r="W16" i="13"/>
  <c r="W22" i="15" l="1"/>
  <c r="W23" i="15" s="1"/>
  <c r="W24" i="15" s="1"/>
  <c r="AP22" i="15"/>
  <c r="AI22" i="15"/>
  <c r="AH22" i="15"/>
  <c r="AI23" i="15" s="1"/>
  <c r="AH26" i="15" s="1"/>
  <c r="AO22" i="15"/>
  <c r="AP23" i="15" s="1"/>
  <c r="AP17" i="14"/>
  <c r="AI17" i="14"/>
  <c r="AH20" i="14" s="1"/>
  <c r="N49" i="14" s="1"/>
  <c r="AL17" i="14"/>
  <c r="AI20" i="14" s="1"/>
  <c r="N52" i="14" s="1"/>
  <c r="AS17" i="14"/>
  <c r="O49" i="15"/>
  <c r="M46" i="13"/>
  <c r="W20" i="14"/>
  <c r="W22" i="14" s="1"/>
  <c r="AO23" i="14"/>
  <c r="AI23" i="14"/>
  <c r="AP23" i="14"/>
  <c r="AH23" i="14"/>
  <c r="W17" i="13"/>
  <c r="W24" i="13"/>
  <c r="L43" i="13"/>
  <c r="H72" i="15" l="1"/>
  <c r="AP24" i="14"/>
  <c r="AI24" i="14"/>
  <c r="AH27" i="14" s="1"/>
  <c r="I70" i="14" s="1"/>
  <c r="O51" i="15"/>
  <c r="AA22" i="14"/>
  <c r="Y22" i="14"/>
  <c r="W25" i="13"/>
  <c r="W26" i="13" s="1"/>
  <c r="W18" i="13"/>
  <c r="W19" i="13" s="1"/>
  <c r="W23" i="14" l="1"/>
  <c r="N54" i="14" s="1"/>
  <c r="O53" i="15"/>
  <c r="AC15" i="13"/>
  <c r="AC16" i="13" s="1"/>
  <c r="AB15" i="13"/>
  <c r="AD15" i="13"/>
  <c r="M52" i="13" s="1"/>
  <c r="R53" i="15" l="1"/>
  <c r="W24" i="14"/>
  <c r="Q54" i="14" s="1"/>
  <c r="L40" i="13"/>
  <c r="M50" i="13"/>
  <c r="W27" i="13"/>
  <c r="M54" i="13" s="1"/>
  <c r="AD16" i="13"/>
  <c r="W28" i="13" l="1"/>
  <c r="M56" i="13" s="1"/>
  <c r="P43" i="1" l="1"/>
  <c r="AA14" i="10" l="1"/>
  <c r="AA1" i="10" l="1"/>
  <c r="AA6" i="10"/>
  <c r="AA5" i="10"/>
  <c r="AA4" i="10"/>
  <c r="AA3" i="10"/>
  <c r="Q43" i="10"/>
  <c r="AA2" i="10" s="1"/>
  <c r="R12" i="10"/>
  <c r="P12" i="10"/>
  <c r="R11" i="10"/>
  <c r="M12" i="10"/>
  <c r="M11" i="10"/>
  <c r="I11" i="10"/>
  <c r="D12" i="10"/>
  <c r="D11" i="10"/>
  <c r="C55" i="10"/>
  <c r="C54" i="10"/>
  <c r="Z10" i="10" l="1"/>
  <c r="AI5" i="10"/>
  <c r="AI4" i="10"/>
  <c r="AI3" i="10"/>
  <c r="AI2" i="10"/>
  <c r="AA7" i="10"/>
  <c r="F52" i="10" s="1"/>
  <c r="Z9" i="10"/>
  <c r="AB21" i="10"/>
  <c r="N64" i="10" s="1"/>
  <c r="Z12" i="10"/>
  <c r="AE14" i="10"/>
  <c r="Z11" i="10"/>
  <c r="G31" i="6"/>
  <c r="G28" i="6"/>
  <c r="G27" i="6"/>
  <c r="F21" i="6"/>
  <c r="G16" i="6"/>
  <c r="G15" i="6"/>
  <c r="G11" i="6"/>
  <c r="G10" i="6"/>
  <c r="P2" i="6"/>
  <c r="L2" i="6"/>
  <c r="R27" i="7"/>
  <c r="Q27" i="7"/>
  <c r="P27" i="7"/>
  <c r="O27" i="7"/>
  <c r="N27" i="7"/>
  <c r="M27" i="7"/>
  <c r="L27" i="7"/>
  <c r="K27" i="7"/>
  <c r="J27" i="7"/>
  <c r="M14" i="7"/>
  <c r="L14" i="7"/>
  <c r="K14" i="7"/>
  <c r="J14" i="7"/>
  <c r="I14" i="7"/>
  <c r="H14" i="7"/>
  <c r="AE15" i="10" l="1"/>
  <c r="AE16" i="10" s="1"/>
  <c r="AA15" i="10"/>
  <c r="AA16" i="10" s="1"/>
  <c r="AA21" i="10"/>
  <c r="N62" i="10" s="1"/>
  <c r="E30" i="7"/>
  <c r="G7" i="6"/>
  <c r="G29" i="6" s="1"/>
  <c r="G6" i="6"/>
  <c r="G5" i="6"/>
  <c r="Q12" i="8"/>
  <c r="Q11" i="8"/>
  <c r="M12" i="8"/>
  <c r="K12" i="8"/>
  <c r="K11" i="8"/>
  <c r="I11" i="8"/>
  <c r="D12" i="8"/>
  <c r="D11" i="8"/>
  <c r="B26" i="7"/>
  <c r="B25" i="7"/>
  <c r="B24" i="7"/>
  <c r="B23" i="7"/>
  <c r="B22" i="7"/>
  <c r="B21" i="7"/>
  <c r="B20" i="7"/>
  <c r="E19" i="7"/>
  <c r="D19" i="7"/>
  <c r="C19" i="7"/>
  <c r="B13" i="7"/>
  <c r="B12" i="7"/>
  <c r="B11" i="7"/>
  <c r="B10" i="7"/>
  <c r="B9" i="7"/>
  <c r="B8" i="7"/>
  <c r="B7" i="7"/>
  <c r="D6" i="7"/>
  <c r="C6" i="7"/>
  <c r="B3" i="7"/>
  <c r="G21" i="6"/>
  <c r="A3" i="7"/>
  <c r="G12" i="6"/>
  <c r="I24" i="8" s="1"/>
  <c r="P3" i="6"/>
  <c r="I32" i="8" s="1"/>
  <c r="G20" i="6" s="1"/>
  <c r="L3" i="6"/>
  <c r="I25" i="8" s="1"/>
  <c r="G13" i="6" s="1"/>
  <c r="A2" i="7" s="1"/>
  <c r="I17" i="4"/>
  <c r="J12" i="15" l="1"/>
  <c r="J13" i="1"/>
  <c r="A1" i="7"/>
  <c r="B1" i="7" s="1"/>
  <c r="G17" i="6"/>
  <c r="I29" i="8" s="1"/>
  <c r="AM15" i="10"/>
  <c r="AL15" i="10"/>
  <c r="AK15" i="10"/>
  <c r="I12" i="13"/>
  <c r="J13" i="14"/>
  <c r="AH15" i="10"/>
  <c r="AH19" i="10" s="1"/>
  <c r="AP15" i="10"/>
  <c r="AO15" i="10"/>
  <c r="AN15" i="10"/>
  <c r="AJ15" i="10"/>
  <c r="AJ19" i="10" s="1"/>
  <c r="AI15" i="10"/>
  <c r="AI19" i="10" s="1"/>
  <c r="I12" i="8"/>
  <c r="I12" i="10"/>
  <c r="B2" i="7"/>
  <c r="G14" i="6" s="1"/>
  <c r="H37" i="6"/>
  <c r="O56" i="8" s="1"/>
  <c r="C30" i="7"/>
  <c r="D30" i="7"/>
  <c r="B30" i="7"/>
  <c r="A30" i="7"/>
  <c r="D37" i="7" s="1"/>
  <c r="H39" i="6"/>
  <c r="O58" i="8" s="1"/>
  <c r="I41" i="8"/>
  <c r="F32" i="6"/>
  <c r="I44" i="8" s="1"/>
  <c r="G30" i="6"/>
  <c r="G8" i="6" l="1"/>
  <c r="I20" i="8" s="1"/>
  <c r="F12" i="7"/>
  <c r="H12" i="7" s="1"/>
  <c r="H24" i="7"/>
  <c r="O24" i="7" s="1"/>
  <c r="G23" i="7"/>
  <c r="L23" i="7" s="1"/>
  <c r="I20" i="7"/>
  <c r="Q20" i="7" s="1"/>
  <c r="F8" i="7"/>
  <c r="I8" i="7" s="1"/>
  <c r="F11" i="7"/>
  <c r="J11" i="7" s="1"/>
  <c r="A35" i="7"/>
  <c r="G13" i="7"/>
  <c r="M13" i="7" s="1"/>
  <c r="H23" i="7"/>
  <c r="O23" i="7" s="1"/>
  <c r="I26" i="7"/>
  <c r="Q26" i="7" s="1"/>
  <c r="F13" i="7"/>
  <c r="H13" i="7" s="1"/>
  <c r="H25" i="7"/>
  <c r="M25" i="7" s="1"/>
  <c r="G22" i="7"/>
  <c r="J22" i="7" s="1"/>
  <c r="G7" i="7"/>
  <c r="L7" i="7" s="1"/>
  <c r="I23" i="7"/>
  <c r="Q23" i="7" s="1"/>
  <c r="H22" i="7"/>
  <c r="M22" i="7" s="1"/>
  <c r="F9" i="7"/>
  <c r="H9" i="7" s="1"/>
  <c r="H20" i="7"/>
  <c r="M20" i="7" s="1"/>
  <c r="G26" i="7"/>
  <c r="L26" i="7" s="1"/>
  <c r="M52" i="10"/>
  <c r="N56" i="10"/>
  <c r="I26" i="8"/>
  <c r="G18" i="6"/>
  <c r="I30" i="8" s="1"/>
  <c r="G9" i="7"/>
  <c r="K9" i="7" s="1"/>
  <c r="F10" i="7"/>
  <c r="J10" i="7" s="1"/>
  <c r="H38" i="6"/>
  <c r="O57" i="8" s="1"/>
  <c r="D36" i="7"/>
  <c r="C36" i="7"/>
  <c r="C35" i="7"/>
  <c r="A36" i="7"/>
  <c r="D35" i="7"/>
  <c r="C37" i="7"/>
  <c r="B36" i="7"/>
  <c r="B37" i="7"/>
  <c r="B35" i="7"/>
  <c r="A37" i="7"/>
  <c r="B36" i="6"/>
  <c r="I42" i="8"/>
  <c r="G25" i="7" l="1"/>
  <c r="J25" i="7" s="1"/>
  <c r="G10" i="7"/>
  <c r="G20" i="7"/>
  <c r="I21" i="7"/>
  <c r="P21" i="7" s="1"/>
  <c r="G11" i="7"/>
  <c r="K11" i="7" s="1"/>
  <c r="I13" i="7"/>
  <c r="J9" i="7"/>
  <c r="P20" i="7"/>
  <c r="H11" i="7"/>
  <c r="I24" i="7"/>
  <c r="P24" i="7" s="1"/>
  <c r="G21" i="7"/>
  <c r="K21" i="7" s="1"/>
  <c r="G12" i="7"/>
  <c r="K12" i="7" s="1"/>
  <c r="I22" i="7"/>
  <c r="P22" i="7" s="1"/>
  <c r="R22" i="7" s="1"/>
  <c r="H26" i="7"/>
  <c r="O26" i="7" s="1"/>
  <c r="G8" i="7"/>
  <c r="G24" i="7"/>
  <c r="I25" i="7"/>
  <c r="H21" i="7"/>
  <c r="F7" i="7"/>
  <c r="H7" i="7" s="1"/>
  <c r="B39" i="6"/>
  <c r="F58" i="8" s="1"/>
  <c r="L12" i="7"/>
  <c r="N25" i="7"/>
  <c r="N26" i="7"/>
  <c r="N23" i="7"/>
  <c r="I12" i="7"/>
  <c r="L13" i="7"/>
  <c r="J13" i="7"/>
  <c r="P26" i="7"/>
  <c r="M26" i="7"/>
  <c r="P23" i="7"/>
  <c r="N20" i="7"/>
  <c r="L21" i="7"/>
  <c r="K23" i="7"/>
  <c r="K22" i="7"/>
  <c r="R26" i="7"/>
  <c r="R23" i="7"/>
  <c r="O20" i="7"/>
  <c r="J23" i="7"/>
  <c r="M24" i="7"/>
  <c r="L22" i="7"/>
  <c r="I11" i="7"/>
  <c r="K8" i="7"/>
  <c r="M23" i="7"/>
  <c r="I9" i="7"/>
  <c r="R20" i="7"/>
  <c r="O25" i="7"/>
  <c r="K13" i="7"/>
  <c r="O22" i="7"/>
  <c r="H8" i="7"/>
  <c r="N24" i="7"/>
  <c r="J26" i="7"/>
  <c r="J12" i="7"/>
  <c r="Q21" i="7"/>
  <c r="N22" i="7"/>
  <c r="J8" i="7"/>
  <c r="K26" i="7"/>
  <c r="R21" i="7"/>
  <c r="K7" i="7"/>
  <c r="M7" i="7" s="1"/>
  <c r="B37" i="6"/>
  <c r="F56" i="8" s="1"/>
  <c r="N54" i="10"/>
  <c r="AA18" i="10"/>
  <c r="AF18" i="10"/>
  <c r="B38" i="6"/>
  <c r="L9" i="7"/>
  <c r="M9" i="7" s="1"/>
  <c r="H10" i="7"/>
  <c r="I10" i="7"/>
  <c r="F36" i="6"/>
  <c r="F55" i="8"/>
  <c r="AG5" i="1"/>
  <c r="AG4" i="1"/>
  <c r="AG3" i="1"/>
  <c r="AG1" i="1"/>
  <c r="I7" i="7" l="1"/>
  <c r="M12" i="7"/>
  <c r="J7" i="7"/>
  <c r="J21" i="7"/>
  <c r="O21" i="7"/>
  <c r="O28" i="7" s="1"/>
  <c r="M21" i="7"/>
  <c r="R25" i="7"/>
  <c r="P25" i="7"/>
  <c r="Q25" i="7"/>
  <c r="K25" i="7"/>
  <c r="L25" i="7"/>
  <c r="K24" i="7"/>
  <c r="L24" i="7"/>
  <c r="N21" i="7"/>
  <c r="L8" i="7"/>
  <c r="M8" i="7"/>
  <c r="R24" i="7"/>
  <c r="L11" i="7"/>
  <c r="M11" i="7"/>
  <c r="Q24" i="7"/>
  <c r="Q22" i="7"/>
  <c r="J24" i="7"/>
  <c r="K20" i="7"/>
  <c r="L20" i="7"/>
  <c r="J20" i="7"/>
  <c r="M10" i="7"/>
  <c r="K10" i="7"/>
  <c r="L10" i="7"/>
  <c r="F37" i="6"/>
  <c r="J56" i="8" s="1"/>
  <c r="F39" i="6"/>
  <c r="J58" i="8" s="1"/>
  <c r="J15" i="7"/>
  <c r="AU3" i="1"/>
  <c r="AQ8" i="1"/>
  <c r="AY5" i="1"/>
  <c r="AU2" i="1"/>
  <c r="AY4" i="1"/>
  <c r="AS3" i="1"/>
  <c r="AY3" i="1"/>
  <c r="AS2" i="1"/>
  <c r="AY2" i="1"/>
  <c r="AQ12" i="1"/>
  <c r="AW2" i="1"/>
  <c r="AQ11" i="1"/>
  <c r="AU5" i="1"/>
  <c r="AQ10" i="1"/>
  <c r="AU4" i="1"/>
  <c r="AQ9" i="1"/>
  <c r="AA19" i="10"/>
  <c r="N58" i="10" s="1"/>
  <c r="AH22" i="1"/>
  <c r="O59" i="1" s="1"/>
  <c r="AQ5" i="1"/>
  <c r="AQ2" i="1"/>
  <c r="AO5" i="1"/>
  <c r="AO4" i="1"/>
  <c r="AQ7" i="1"/>
  <c r="AO3" i="1"/>
  <c r="AQ6" i="1"/>
  <c r="AO2" i="1"/>
  <c r="AQ4" i="1"/>
  <c r="AQ3" i="1"/>
  <c r="AG7" i="1"/>
  <c r="G50" i="1" s="1"/>
  <c r="AF19" i="10"/>
  <c r="N60" i="10" s="1"/>
  <c r="F38" i="6"/>
  <c r="J57" i="8" s="1"/>
  <c r="F57" i="8"/>
  <c r="J55" i="8"/>
  <c r="AG14" i="1"/>
  <c r="AH21" i="1"/>
  <c r="AF10" i="1"/>
  <c r="AF9" i="1"/>
  <c r="L28" i="7" l="1"/>
  <c r="M15" i="7"/>
  <c r="N15" i="7" s="1"/>
  <c r="G22" i="6" s="1"/>
  <c r="I34" i="8" s="1"/>
  <c r="R28" i="7"/>
  <c r="R29" i="7"/>
  <c r="G24" i="6" l="1"/>
  <c r="G25" i="6" s="1"/>
  <c r="G39" i="6" s="1"/>
  <c r="L58" i="8" s="1"/>
  <c r="I36" i="8"/>
  <c r="G36" i="6"/>
  <c r="L55" i="8" s="1"/>
  <c r="G37" i="6"/>
  <c r="L56" i="8" s="1"/>
  <c r="AG2" i="1" s="1"/>
  <c r="G38" i="6" l="1"/>
  <c r="L57" i="8" s="1"/>
  <c r="I37" i="8"/>
  <c r="AF12" i="1"/>
  <c r="AF11" i="1"/>
  <c r="AG21" i="1" l="1"/>
  <c r="AG15" i="1"/>
  <c r="AG16" i="1" s="1"/>
  <c r="AX13" i="1" l="1"/>
  <c r="AY13" i="1"/>
  <c r="AP13" i="1"/>
  <c r="AQ13" i="1"/>
  <c r="AV13" i="1"/>
  <c r="AW13" i="1"/>
  <c r="AR13" i="1"/>
  <c r="AU13" i="1"/>
  <c r="AT13" i="1"/>
  <c r="AS13" i="1"/>
  <c r="AN13" i="1"/>
  <c r="AO13" i="1"/>
  <c r="M57" i="1"/>
  <c r="AG22" i="1"/>
  <c r="M59" i="1" s="1"/>
  <c r="AN22" i="1" l="1"/>
  <c r="AK2" i="1" s="1"/>
  <c r="M50" i="1" s="1"/>
  <c r="AO22" i="1"/>
  <c r="AG18" i="1" s="1"/>
  <c r="M52" i="1" l="1"/>
  <c r="AG19" i="1"/>
  <c r="AJ19" i="1" s="1"/>
  <c r="P54" i="1" s="1"/>
  <c r="M54" i="1" l="1"/>
</calcChain>
</file>

<file path=xl/comments1.xml><?xml version="1.0" encoding="utf-8"?>
<comments xmlns="http://schemas.openxmlformats.org/spreadsheetml/2006/main">
  <authors>
    <author xml:space="preserve"> </author>
    <author>Joern Philippi</author>
  </authors>
  <commentList>
    <comment ref="I17" authorId="0" shapeId="0">
      <text>
        <r>
          <rPr>
            <b/>
            <sz val="8"/>
            <color indexed="81"/>
            <rFont val="Tahoma"/>
            <family val="2"/>
          </rPr>
          <t>Insert the distance to the closest adjacent building upwind of the elevation being investigated.</t>
        </r>
      </text>
    </comment>
    <comment ref="I18" authorId="0" shapeId="0">
      <text>
        <r>
          <rPr>
            <b/>
            <sz val="8"/>
            <color indexed="81"/>
            <rFont val="Tahoma"/>
            <family val="2"/>
          </rPr>
          <t>Enter the average height of the roof tops of the adjacent buildings upwind of the elevation being investigated.</t>
        </r>
      </text>
    </comment>
    <comment ref="I19" authorId="0" shapeId="0">
      <text>
        <r>
          <rPr>
            <b/>
            <sz val="8"/>
            <color indexed="81"/>
            <rFont val="Tahoma"/>
            <family val="2"/>
          </rPr>
          <t>Input the height of the building being investigated from ground level to the highest point.</t>
        </r>
      </text>
    </comment>
    <comment ref="I22" authorId="0" shapeId="0">
      <text>
        <r>
          <rPr>
            <b/>
            <sz val="8"/>
            <color indexed="81"/>
            <rFont val="Tahoma"/>
            <family val="2"/>
          </rPr>
          <t>Insert the basic wind speed (Vb) based on the building's geographic location using the adjacent map Figure 6.</t>
        </r>
      </text>
    </comment>
    <comment ref="I23" authorId="0" shapeId="0">
      <text>
        <r>
          <rPr>
            <b/>
            <sz val="8"/>
            <color indexed="81"/>
            <rFont val="Tahoma"/>
            <family val="2"/>
          </rPr>
          <t>Insert the height above sea level to ground level for the site in question. This may be obtained using Google Earth.</t>
        </r>
      </text>
    </comment>
    <comment ref="F25" authorId="0" shapeId="0">
      <text>
        <r>
          <rPr>
            <b/>
            <sz val="8"/>
            <color indexed="81"/>
            <rFont val="Tahoma"/>
            <family val="2"/>
          </rPr>
          <t xml:space="preserve">When investigating a whole building it is recommended to select 'West' as this should accommodate the worst case scenario. If investigating a single elevation select the direction the elevation in question faces. </t>
        </r>
      </text>
    </comment>
    <comment ref="F32" authorId="0" shapeId="0">
      <text>
        <r>
          <rPr>
            <b/>
            <sz val="8"/>
            <color indexed="81"/>
            <rFont val="Tahoma"/>
            <family val="2"/>
          </rPr>
          <t xml:space="preserve">Select whether the building is located in either a town or country environment. </t>
        </r>
      </text>
    </comment>
    <comment ref="I33" authorId="0" shapeId="0">
      <text>
        <r>
          <rPr>
            <b/>
            <sz val="8"/>
            <color indexed="81"/>
            <rFont val="Tahoma"/>
            <family val="2"/>
          </rPr>
          <t>Insert the closest distance to sea normal to the relevant elevation.</t>
        </r>
      </text>
    </comment>
    <comment ref="I39" authorId="0" shapeId="0">
      <text>
        <r>
          <rPr>
            <b/>
            <sz val="8"/>
            <color indexed="81"/>
            <rFont val="Tahoma"/>
            <family val="2"/>
          </rPr>
          <t xml:space="preserve">Enter the length of the elevation corresponding to the direction selected for 'Wind normal to elevation' above. </t>
        </r>
      </text>
    </comment>
    <comment ref="I40" authorId="0" shapeId="0">
      <text>
        <r>
          <rPr>
            <b/>
            <sz val="8"/>
            <color indexed="81"/>
            <rFont val="Tahoma"/>
            <family val="2"/>
          </rPr>
          <t xml:space="preserve">Enter the depth of the building perpendicular to the direction selected for 'Wind normal to elevation' above. </t>
        </r>
      </text>
    </comment>
    <comment ref="I43" authorId="0" shapeId="0">
      <text>
        <r>
          <rPr>
            <b/>
            <sz val="8"/>
            <color indexed="81"/>
            <rFont val="Tahoma"/>
            <family val="2"/>
          </rPr>
          <t>Enter the closest distance between your building and the adjacent buildings.</t>
        </r>
      </text>
    </comment>
    <comment ref="I44" authorId="1" shapeId="0">
      <text>
        <r>
          <rPr>
            <b/>
            <sz val="8"/>
            <color indexed="81"/>
            <rFont val="Tahoma"/>
            <family val="2"/>
          </rPr>
          <t>Funneling occurs when the gap to an adjacent building of a similar height is narrow and the building length &gt; the width. The net pressure coefficients below will change accordingly.</t>
        </r>
        <r>
          <rPr>
            <sz val="8"/>
            <color indexed="81"/>
            <rFont val="Tahoma"/>
            <family val="2"/>
          </rPr>
          <t xml:space="preserve">
</t>
        </r>
      </text>
    </comment>
    <comment ref="L52" authorId="0" shapeId="0">
      <text>
        <r>
          <rPr>
            <b/>
            <sz val="8"/>
            <color indexed="81"/>
            <rFont val="Tahoma"/>
            <family val="2"/>
          </rPr>
          <t>The following results are the wind loads for the applicable zones of the building. It is generally advisable to select the largest value ignoring whether it is positive or negative i.e. positive and negative are used to indicate the direction of the force not its magnitude.</t>
        </r>
      </text>
    </comment>
  </commentList>
</comments>
</file>

<file path=xl/comments2.xml><?xml version="1.0" encoding="utf-8"?>
<comments xmlns="http://schemas.openxmlformats.org/spreadsheetml/2006/main">
  <authors>
    <author>r.edmondson</author>
  </authors>
  <commentList>
    <comment ref="G39" authorId="0" shapeId="0">
      <text>
        <r>
          <rPr>
            <b/>
            <sz val="8"/>
            <color indexed="81"/>
            <rFont val="Tahoma"/>
            <family val="2"/>
          </rPr>
          <t>The design dead load is based on the weight of the glass per m2. This can be calculated by multiplying the thickness of the glass by 0.025N/mm i.e. a 6/16/6 unit would have a dead load of 12 x 0.025 = 0.3kN/m2</t>
        </r>
        <r>
          <rPr>
            <sz val="9"/>
            <color indexed="81"/>
            <rFont val="Tahoma"/>
            <family val="2"/>
          </rPr>
          <t xml:space="preserve">
</t>
        </r>
      </text>
    </comment>
    <comment ref="G41" authorId="0" shapeId="0">
      <text>
        <r>
          <rPr>
            <b/>
            <sz val="8"/>
            <color indexed="81"/>
            <rFont val="Tahoma"/>
            <family val="2"/>
          </rPr>
          <t>You can select either 'Custom' or 'BS 6399-2 Standard'. If you select 'Custom' you must enter the appropriate wind load in the unput box opposite. If you select 'BS 6399-2 Standard' the software will automatically use the highest wind load calculated on the 'BS 6399-2 Standard Method'.</t>
        </r>
        <r>
          <rPr>
            <sz val="9"/>
            <color indexed="81"/>
            <rFont val="Tahoma"/>
            <family val="2"/>
          </rPr>
          <t xml:space="preserve">
</t>
        </r>
      </text>
    </comment>
    <comment ref="K41" authorId="0" shapeId="0">
      <text>
        <r>
          <rPr>
            <b/>
            <sz val="8"/>
            <color indexed="81"/>
            <rFont val="Tahoma"/>
            <family val="2"/>
          </rPr>
          <t>If you have previously selected that the Wind load application is 'Custom' enter the appropriate wind load in kN/m2 here. If you select 'BS 6399-2 Standard' any figure entered within this box is ignored.</t>
        </r>
        <r>
          <rPr>
            <sz val="9"/>
            <color indexed="81"/>
            <rFont val="Tahoma"/>
            <family val="2"/>
          </rPr>
          <t xml:space="preserve">
</t>
        </r>
      </text>
    </comment>
    <comment ref="G43" authorId="0" shapeId="0">
      <text>
        <r>
          <rPr>
            <b/>
            <sz val="8"/>
            <color indexed="81"/>
            <rFont val="Tahoma"/>
            <family val="2"/>
          </rPr>
          <t>Insert dimension 'A' as indicated above to mullion centres.</t>
        </r>
        <r>
          <rPr>
            <sz val="8"/>
            <color indexed="81"/>
            <rFont val="Tahoma"/>
            <family val="2"/>
          </rPr>
          <t xml:space="preserve">
</t>
        </r>
      </text>
    </comment>
    <comment ref="P43" authorId="0" shapeId="0">
      <text>
        <r>
          <rPr>
            <b/>
            <sz val="8"/>
            <color indexed="81"/>
            <rFont val="Tahoma"/>
            <family val="2"/>
          </rPr>
          <t>Design wind load used within this calculation based on selected 'Win load application'.</t>
        </r>
      </text>
    </comment>
    <comment ref="G45" authorId="0" shapeId="0">
      <text>
        <r>
          <rPr>
            <b/>
            <sz val="8"/>
            <color indexed="81"/>
            <rFont val="Tahoma"/>
            <family val="2"/>
          </rPr>
          <t>Insert dimension 'B' as indicated above to mullion centres.</t>
        </r>
      </text>
    </comment>
    <comment ref="J46" authorId="0" shapeId="0">
      <text>
        <r>
          <rPr>
            <b/>
            <sz val="8"/>
            <color indexed="81"/>
            <rFont val="Tahoma"/>
            <family val="2"/>
          </rPr>
          <t>Select appropriate mullion from drop down options.</t>
        </r>
      </text>
    </comment>
    <comment ref="G47" authorId="0" shapeId="0">
      <text>
        <r>
          <rPr>
            <b/>
            <sz val="8"/>
            <color indexed="81"/>
            <rFont val="Tahoma"/>
            <family val="2"/>
          </rPr>
          <t>Insert dimension 'C' as indicated above to transom centres.</t>
        </r>
      </text>
    </comment>
    <comment ref="G50" authorId="0" shapeId="0">
      <text>
        <r>
          <rPr>
            <b/>
            <sz val="8"/>
            <color indexed="81"/>
            <rFont val="Tahoma"/>
            <family val="2"/>
          </rPr>
          <t>Maximum permissible deflection of mullion in accordance with the reccomendations contained within the CWCT Standard for Systemised Building Envelopes 2006 paragraph 3.5.2.5</t>
        </r>
      </text>
    </comment>
    <comment ref="M50" authorId="0" shapeId="0">
      <text>
        <r>
          <rPr>
            <b/>
            <sz val="8"/>
            <color indexed="81"/>
            <rFont val="Tahoma"/>
            <family val="2"/>
          </rPr>
          <t>Recommended minimum mullion profile or profile combination based n input data.</t>
        </r>
      </text>
    </comment>
    <comment ref="M54" authorId="0" shapeId="0">
      <text>
        <r>
          <rPr>
            <b/>
            <sz val="8"/>
            <color indexed="81"/>
            <rFont val="Tahoma"/>
            <family val="2"/>
          </rPr>
          <t>Actual deflection of window mullion based on input data.</t>
        </r>
      </text>
    </comment>
    <comment ref="P54" authorId="0" shapeId="0">
      <text>
        <r>
          <rPr>
            <b/>
            <sz val="8"/>
            <color indexed="81"/>
            <rFont val="Tahoma"/>
            <family val="2"/>
          </rPr>
          <t>Actual deflection of window mullion expressed as a fraction of its span based on the input data.</t>
        </r>
      </text>
    </comment>
  </commentList>
</comments>
</file>

<file path=xl/comments3.xml><?xml version="1.0" encoding="utf-8"?>
<comments xmlns="http://schemas.openxmlformats.org/spreadsheetml/2006/main">
  <authors>
    <author xml:space="preserve"> </author>
    <author>r.edmondson</author>
  </authors>
  <commentList>
    <comment ref="F39" authorId="0" shapeId="0">
      <text>
        <r>
          <rPr>
            <b/>
            <sz val="8"/>
            <color indexed="81"/>
            <rFont val="Tahoma"/>
            <family val="2"/>
          </rPr>
          <t>The design dead load is based on the weight of the glass per m2. This can be calculated by multiplying the thickness of the glass by 0.025N/mm i.e. a 6/16/6 unit would have a dead load of 12 x 0.025 = 0.3kN/m2</t>
        </r>
      </text>
    </comment>
    <comment ref="F41" authorId="0" shapeId="0">
      <text>
        <r>
          <rPr>
            <b/>
            <sz val="8"/>
            <color indexed="81"/>
            <rFont val="Tahoma"/>
            <family val="2"/>
          </rPr>
          <t>You can select either 'Custom' or 'BS 6399-2 Standard'. If you select 'Custom' you must enter the appropriate wind load in the input box opposite. If you select 'BS 6399-2 Standard' the software will automatically use the highest wind load calculated on the 'BS 6399-2 Standard Method' sheet of this spread sheet.</t>
        </r>
      </text>
    </comment>
    <comment ref="J41" authorId="0" shapeId="0">
      <text>
        <r>
          <rPr>
            <b/>
            <sz val="8"/>
            <color indexed="81"/>
            <rFont val="Tahoma"/>
            <family val="2"/>
          </rPr>
          <t>If you have previously selected that the Wind load application is 'Custom' enter the appropriate wind load in kN/m2 here. If you select 'BS 6399-2 Standard' any figure entered within this box is ignored.</t>
        </r>
      </text>
    </comment>
    <comment ref="F43" authorId="0" shapeId="0">
      <text>
        <r>
          <rPr>
            <b/>
            <sz val="8"/>
            <color indexed="81"/>
            <rFont val="Tahoma"/>
            <family val="2"/>
          </rPr>
          <t>Insert dimension 'A' as indicated above to transom centres.</t>
        </r>
      </text>
    </comment>
    <comment ref="Q43" authorId="0" shapeId="0">
      <text>
        <r>
          <rPr>
            <b/>
            <sz val="8"/>
            <color indexed="81"/>
            <rFont val="Tahoma"/>
            <family val="2"/>
          </rPr>
          <t>Design wind load used within this calculation based on selected 'Wind load application'.</t>
        </r>
      </text>
    </comment>
    <comment ref="F45" authorId="0" shapeId="0">
      <text>
        <r>
          <rPr>
            <b/>
            <sz val="8"/>
            <color indexed="81"/>
            <rFont val="Tahoma"/>
            <family val="2"/>
          </rPr>
          <t>Insert dimension 'B' as indicated above to transom centres.</t>
        </r>
      </text>
    </comment>
    <comment ref="F47" authorId="0" shapeId="0">
      <text>
        <r>
          <rPr>
            <b/>
            <sz val="8"/>
            <color indexed="81"/>
            <rFont val="Tahoma"/>
            <family val="2"/>
          </rPr>
          <t>Insert dimension 'C' as indicated above to mullion centres.</t>
        </r>
      </text>
    </comment>
    <comment ref="L48" authorId="1" shapeId="0">
      <text>
        <r>
          <rPr>
            <b/>
            <sz val="8"/>
            <color indexed="81"/>
            <rFont val="Tahoma"/>
            <family val="2"/>
          </rPr>
          <t>Select appropriate transom from drop down options. If selecting a profile with an extruded box or fin or when using 007 or 008 ensure that the chosen option is suitable for use with the application, orientation of the frames, inclusion of opening lights, ironmongery and drip rails.</t>
        </r>
        <r>
          <rPr>
            <sz val="9"/>
            <color indexed="81"/>
            <rFont val="Tahoma"/>
            <family val="2"/>
          </rPr>
          <t xml:space="preserve">
</t>
        </r>
      </text>
    </comment>
    <comment ref="F49" authorId="0" shapeId="0">
      <text>
        <r>
          <rPr>
            <b/>
            <sz val="8"/>
            <color indexed="81"/>
            <rFont val="Tahoma"/>
            <family val="2"/>
          </rPr>
          <t xml:space="preserve">Insert dimension 'D' as indicated above from edge of mullion to centre of glazing supports. </t>
        </r>
      </text>
    </comment>
    <comment ref="F52" authorId="0" shapeId="0">
      <text>
        <r>
          <rPr>
            <b/>
            <sz val="8"/>
            <color indexed="81"/>
            <rFont val="Tahoma"/>
            <family val="2"/>
          </rPr>
          <t>Maximum permissible deflection of transom in accordance with the recommendations contained with in the CWCT Standard for Systemised Building Envelopes 2006 paragraph 3.5.2.5</t>
        </r>
      </text>
    </comment>
    <comment ref="L52" authorId="1" shapeId="0">
      <text>
        <r>
          <rPr>
            <b/>
            <sz val="8"/>
            <color indexed="81"/>
            <rFont val="Tahoma"/>
            <family val="2"/>
          </rPr>
          <t>Recommended minimum transom profile or profile combination based on input data to accommodate wind load and dead load.</t>
        </r>
        <r>
          <rPr>
            <sz val="9"/>
            <color indexed="81"/>
            <rFont val="Tahoma"/>
            <family val="2"/>
          </rPr>
          <t xml:space="preserve">
</t>
        </r>
      </text>
    </comment>
  </commentList>
</comments>
</file>

<file path=xl/comments4.xml><?xml version="1.0" encoding="utf-8"?>
<comments xmlns="http://schemas.openxmlformats.org/spreadsheetml/2006/main">
  <authors>
    <author xml:space="preserve"> </author>
    <author>Joern Philippi</author>
  </authors>
  <commentList>
    <comment ref="G39" authorId="0" shapeId="0">
      <text>
        <r>
          <rPr>
            <b/>
            <sz val="8"/>
            <color indexed="81"/>
            <rFont val="Tahoma"/>
            <family val="2"/>
          </rPr>
          <t>The design dead load is based on the weight of the glass per m2. This can be calculated by multiplying the thickness of the glass by 0.025N/mm i.e. a 6/16/6 unit would have a dead load of 12 x 0.025 = 0.3kN/m2</t>
        </r>
      </text>
    </comment>
    <comment ref="K39" authorId="0" shapeId="0">
      <text>
        <r>
          <rPr>
            <b/>
            <sz val="8"/>
            <color indexed="81"/>
            <rFont val="Tahoma"/>
            <family val="2"/>
          </rPr>
          <t>Select version of System 17 required. If system option is not available in this drop down menu then this spread sheet is not applicable and should not be used.</t>
        </r>
      </text>
    </comment>
    <comment ref="G41" authorId="0" shapeId="0">
      <text>
        <r>
          <rPr>
            <b/>
            <sz val="8"/>
            <color indexed="81"/>
            <rFont val="Tahoma"/>
            <family val="2"/>
          </rPr>
          <t>You can select either 'Custom' or 'BS 6399-2 Standard'. If you select 'Custom' you must enter the appropriate wind load in the input box opposite. If you select 'BS 6399-2 Standard' the software will automatically use the highest wind load calculated on the 'BS 6399-2 Standard Method' sheet of this spread sheet.</t>
        </r>
      </text>
    </comment>
    <comment ref="K41" authorId="0" shapeId="0">
      <text>
        <r>
          <rPr>
            <b/>
            <sz val="8"/>
            <color indexed="81"/>
            <rFont val="Tahoma"/>
            <family val="2"/>
          </rPr>
          <t>If you have previously selected that the Wind load application is 'Custom' enter the appropriate wind load in kN/m2 here. If you select 'BS 6399-2 Standard' any figure entered within this box is ignored.</t>
        </r>
      </text>
    </comment>
    <comment ref="O41" authorId="0" shapeId="0">
      <text>
        <r>
          <rPr>
            <b/>
            <sz val="8"/>
            <color indexed="81"/>
            <rFont val="Tahoma"/>
            <family val="2"/>
          </rPr>
          <t>Insert the angle of inclination of the screen. If perpendicular to ground level angle = 90 degrees. If leaning towards the building and in roof applications angle is &lt; 90 degrees. If leaning away from the building angle is &gt; 90 degrees.</t>
        </r>
      </text>
    </comment>
    <comment ref="R41" authorId="1" shapeId="0">
      <text>
        <r>
          <rPr>
            <sz val="8"/>
            <color indexed="81"/>
            <rFont val="Tahoma"/>
            <family val="2"/>
          </rPr>
          <t>Snow load will apply if angle is between 0 and 60º</t>
        </r>
      </text>
    </comment>
    <comment ref="G43" authorId="0" shapeId="0">
      <text>
        <r>
          <rPr>
            <b/>
            <sz val="8"/>
            <color indexed="81"/>
            <rFont val="Tahoma"/>
            <family val="2"/>
          </rPr>
          <t>Insert dimension 'A' as indicated above to mullion centres.</t>
        </r>
      </text>
    </comment>
    <comment ref="Q43" authorId="0" shapeId="0">
      <text>
        <r>
          <rPr>
            <b/>
            <sz val="8"/>
            <color indexed="81"/>
            <rFont val="Tahoma"/>
            <family val="2"/>
          </rPr>
          <t>Design wind load used within this calculation based on selected 'Wind load application'.</t>
        </r>
      </text>
    </comment>
    <comment ref="G45" authorId="0" shapeId="0">
      <text>
        <r>
          <rPr>
            <b/>
            <sz val="8"/>
            <color indexed="81"/>
            <rFont val="Tahoma"/>
            <family val="2"/>
          </rPr>
          <t>Insert dimension 'B' as indicated above to mullion centres.</t>
        </r>
      </text>
    </comment>
    <comment ref="G47" authorId="0" shapeId="0">
      <text>
        <r>
          <rPr>
            <b/>
            <sz val="8"/>
            <color indexed="81"/>
            <rFont val="Tahoma"/>
            <family val="2"/>
          </rPr>
          <t>Insert dimension 'C' as indicated above to transom centres.</t>
        </r>
      </text>
    </comment>
    <comment ref="G49" authorId="0" shapeId="0">
      <text>
        <r>
          <rPr>
            <b/>
            <sz val="8"/>
            <color indexed="81"/>
            <rFont val="Tahoma"/>
            <family val="2"/>
          </rPr>
          <t>Select how screen is to be supported i.e. the dead load is to be transferred to the bottom "Cill (Bottom stacked)" or hung from the top " Head (Top hung)". Ensure fixings and structure are capable of supporting the applicable loads regardless of which option is selected.</t>
        </r>
      </text>
    </comment>
    <comment ref="K49" authorId="0" shapeId="0">
      <text>
        <r>
          <rPr>
            <b/>
            <sz val="8"/>
            <color indexed="81"/>
            <rFont val="Tahoma"/>
            <family val="2"/>
          </rPr>
          <t>Recommended minimum mullion profile  based on input data to accommodate wind load, dead load and snow load.</t>
        </r>
      </text>
    </comment>
    <comment ref="G52" authorId="0" shapeId="0">
      <text>
        <r>
          <rPr>
            <b/>
            <sz val="8"/>
            <color indexed="81"/>
            <rFont val="Tahoma"/>
            <family val="2"/>
          </rPr>
          <t>Maximum permissible deflection of mullion in accordance with the recommendations contained within the CWCT Standard for Systemised Building Envelopes 2006 paragraph 3.5.2.2</t>
        </r>
      </text>
    </comment>
    <comment ref="N54" authorId="0" shapeId="0">
      <text>
        <r>
          <rPr>
            <b/>
            <sz val="8"/>
            <color indexed="81"/>
            <rFont val="Tahoma"/>
            <family val="2"/>
          </rPr>
          <t>Actual deflection of mullion based on input data.</t>
        </r>
      </text>
    </comment>
    <comment ref="Q54" authorId="0" shapeId="0">
      <text>
        <r>
          <rPr>
            <b/>
            <sz val="8"/>
            <color indexed="81"/>
            <rFont val="Tahoma"/>
            <family val="2"/>
          </rPr>
          <t xml:space="preserve">Actual deflection of mullion expressed as a fraction of its span based on the input data. </t>
        </r>
      </text>
    </comment>
    <comment ref="G64" authorId="0" shapeId="0">
      <text>
        <r>
          <rPr>
            <b/>
            <sz val="8"/>
            <color indexed="81"/>
            <rFont val="Tahoma"/>
            <family val="2"/>
          </rPr>
          <t>Insert distance between Brise Soleil brackets. Brise Soleil may be designed to span across multiple mullions. Ensure bracket centres coincide with the appropriate mullion centres.</t>
        </r>
      </text>
    </comment>
    <comment ref="L64" authorId="0" shapeId="0">
      <text>
        <r>
          <rPr>
            <b/>
            <sz val="8"/>
            <color indexed="81"/>
            <rFont val="Tahoma"/>
            <family val="2"/>
          </rPr>
          <t>Insert the dimension from the base of the curtain walling mullion to the centre line of the Brise Soleil bracket.</t>
        </r>
      </text>
    </comment>
    <comment ref="G66" authorId="0" shapeId="0">
      <text>
        <r>
          <rPr>
            <b/>
            <sz val="8"/>
            <color indexed="81"/>
            <rFont val="Tahoma"/>
            <family val="2"/>
          </rPr>
          <t>Select size of aerofoil blade required.</t>
        </r>
      </text>
    </comment>
    <comment ref="L66" authorId="0" shapeId="0">
      <text>
        <r>
          <rPr>
            <b/>
            <sz val="8"/>
            <color indexed="81"/>
            <rFont val="Tahoma"/>
            <family val="2"/>
          </rPr>
          <t>Select whether the curtain walling mullion is to be reinforced with an aluminium spigot or not.</t>
        </r>
      </text>
    </comment>
    <comment ref="G68" authorId="0" shapeId="0">
      <text>
        <r>
          <rPr>
            <b/>
            <sz val="8"/>
            <color indexed="81"/>
            <rFont val="Tahoma"/>
            <family val="2"/>
          </rPr>
          <t xml:space="preserve">Select number of aerofoil blades required (excluding the 'D section' termination profile). </t>
        </r>
      </text>
    </comment>
    <comment ref="D70" authorId="0" shapeId="0">
      <text>
        <r>
          <rPr>
            <b/>
            <sz val="8"/>
            <color indexed="81"/>
            <rFont val="Tahoma"/>
            <family val="2"/>
          </rPr>
          <t>Recommended minimum mullion profile or profile combination required to support the Brise Soleil based on the input data. This will differ from the mullion section calculated above which assumes no Brise Soleil is attached.</t>
        </r>
      </text>
    </comment>
  </commentList>
</comments>
</file>

<file path=xl/comments5.xml><?xml version="1.0" encoding="utf-8"?>
<comments xmlns="http://schemas.openxmlformats.org/spreadsheetml/2006/main">
  <authors>
    <author xml:space="preserve"> </author>
    <author>Joern Philippi</author>
  </authors>
  <commentList>
    <comment ref="G37" authorId="0" shapeId="0">
      <text>
        <r>
          <rPr>
            <b/>
            <sz val="8"/>
            <color indexed="81"/>
            <rFont val="Tahoma"/>
            <family val="2"/>
          </rPr>
          <t>The design dead load is based on the weight of the glass per m2. This can be calculated by multiplying the thickness of the glass by 0.025N/mm i.e. a 6/16/6 unit would have a dead load of 12 x 0.025 = 0.3kN/m2</t>
        </r>
      </text>
    </comment>
    <comment ref="K37" authorId="0" shapeId="0">
      <text>
        <r>
          <rPr>
            <b/>
            <sz val="8"/>
            <color indexed="81"/>
            <rFont val="Tahoma"/>
            <family val="2"/>
          </rPr>
          <t>Select version of System 17 required. If system option is not available in this drop down menu then this spread sheet is not applicable and should not be used.</t>
        </r>
      </text>
    </comment>
    <comment ref="G39" authorId="0" shapeId="0">
      <text>
        <r>
          <rPr>
            <b/>
            <sz val="8"/>
            <color indexed="81"/>
            <rFont val="Tahoma"/>
            <family val="2"/>
          </rPr>
          <t>You can select either 'Custom' or 'BS 6399-2 Standard'. If you select 'Custom' you must enter the appropriate wind load in the input box opposite. If you select 'BS 6399-2 Standard' the software will automatically use the highest wind load calculated on the 'BS 6399-2 Standard Method' sheet of this spread sheet.</t>
        </r>
      </text>
    </comment>
    <comment ref="K39" authorId="0" shapeId="0">
      <text>
        <r>
          <rPr>
            <b/>
            <sz val="8"/>
            <color indexed="81"/>
            <rFont val="Tahoma"/>
            <family val="2"/>
          </rPr>
          <t>If you have previously selected that the Wind load application is 'Custom' enter the appropriate wind load in kN/m2 here. If you select 'BS 6399-2 Standard' any figure entered within this box is ignored.</t>
        </r>
      </text>
    </comment>
    <comment ref="O39" authorId="0" shapeId="0">
      <text>
        <r>
          <rPr>
            <b/>
            <sz val="8"/>
            <color indexed="81"/>
            <rFont val="Tahoma"/>
            <family val="2"/>
          </rPr>
          <t>Insert the angle of inclination of the screen. If perpendicular to ground level angle = 90 degrees. If leaning towards the building and in roof applications angle is &lt; 90 degrees. If leaning away from the building angle is &gt; 90 degrees.</t>
        </r>
      </text>
    </comment>
    <comment ref="R39" authorId="1" shapeId="0">
      <text>
        <r>
          <rPr>
            <b/>
            <sz val="8"/>
            <color indexed="81"/>
            <rFont val="Tahoma"/>
            <family val="2"/>
          </rPr>
          <t>Snow load applies if angle is between
0 and 60º.</t>
        </r>
      </text>
    </comment>
    <comment ref="G41" authorId="0" shapeId="0">
      <text>
        <r>
          <rPr>
            <b/>
            <sz val="8"/>
            <color indexed="81"/>
            <rFont val="Tahoma"/>
            <family val="2"/>
          </rPr>
          <t>Insert dimension 'A' as indicated above to mullion centres.</t>
        </r>
      </text>
    </comment>
    <comment ref="Q41" authorId="0" shapeId="0">
      <text>
        <r>
          <rPr>
            <b/>
            <sz val="8"/>
            <color indexed="81"/>
            <rFont val="Tahoma"/>
            <family val="2"/>
          </rPr>
          <t>Design wind load used within this calculation based on selected 'Wind load application'.</t>
        </r>
      </text>
    </comment>
    <comment ref="G43" authorId="0" shapeId="0">
      <text>
        <r>
          <rPr>
            <b/>
            <sz val="8"/>
            <color indexed="81"/>
            <rFont val="Tahoma"/>
            <family val="2"/>
          </rPr>
          <t>Insert dimension 'B' as indicated above to mullion centres.</t>
        </r>
      </text>
    </comment>
    <comment ref="G45" authorId="0" shapeId="0">
      <text>
        <r>
          <rPr>
            <b/>
            <sz val="8"/>
            <color indexed="81"/>
            <rFont val="Tahoma"/>
            <family val="2"/>
          </rPr>
          <t>Insert dimension 'C' as indicated above from cill transom centre line to centre line of intermediate fixing.</t>
        </r>
      </text>
    </comment>
    <comment ref="G47" authorId="0" shapeId="0">
      <text>
        <r>
          <rPr>
            <b/>
            <sz val="8"/>
            <color indexed="81"/>
            <rFont val="Tahoma"/>
            <family val="2"/>
          </rPr>
          <t>Insert dimension 'D' as indicated above from centre line of intermediate fixing to centre line of head transom .</t>
        </r>
      </text>
    </comment>
    <comment ref="G49" authorId="0" shapeId="0">
      <text>
        <r>
          <rPr>
            <b/>
            <sz val="8"/>
            <color indexed="81"/>
            <rFont val="Tahoma"/>
            <family val="2"/>
          </rPr>
          <t>Select how screen is to be supported i.e. the dead load is to be transferred to the bottom "Cill (Bottom stacked)", transferred to the intermediate tie back position "Mid support " or hung from the top " Head (Top hung)". Ensure fixings and structure are capable of supporting the applicable loads regardless of which option is selected.</t>
        </r>
      </text>
    </comment>
    <comment ref="K49" authorId="0" shapeId="0">
      <text>
        <r>
          <rPr>
            <b/>
            <sz val="8"/>
            <color indexed="81"/>
            <rFont val="Tahoma"/>
            <family val="2"/>
          </rPr>
          <t>Recommended minimum mullion profile  based on input data to accommodate wind load, dead load and snow load.</t>
        </r>
      </text>
    </comment>
    <comment ref="G52" authorId="0" shapeId="0">
      <text>
        <r>
          <rPr>
            <b/>
            <sz val="8"/>
            <color indexed="81"/>
            <rFont val="Tahoma"/>
            <family val="2"/>
          </rPr>
          <t>Maximum permissible deflection of mullion in accordance with the recommendations contained within the CWCT Standard for Systemised Building Envelopes 2006 paragraph 3.5.2.2</t>
        </r>
      </text>
    </comment>
    <comment ref="O53" authorId="0" shapeId="0">
      <text>
        <r>
          <rPr>
            <b/>
            <sz val="8"/>
            <color indexed="81"/>
            <rFont val="Tahoma"/>
            <family val="2"/>
          </rPr>
          <t>Actual deflection of mullion based on input data.</t>
        </r>
      </text>
    </comment>
    <comment ref="R53" authorId="0" shapeId="0">
      <text>
        <r>
          <rPr>
            <b/>
            <sz val="8"/>
            <color indexed="81"/>
            <rFont val="Tahoma"/>
            <family val="2"/>
          </rPr>
          <t xml:space="preserve">Actual deflection of mullion expressed as a fraction of its span based on the input data. </t>
        </r>
      </text>
    </comment>
    <comment ref="C62" authorId="1" shapeId="0">
      <text>
        <r>
          <rPr>
            <b/>
            <sz val="8"/>
            <color indexed="81"/>
            <rFont val="Tahoma"/>
            <family val="2"/>
          </rPr>
          <t>The following section will assess the effect a cantilever Brise Soleil will have on a curtain walling mullion. Where a Brise Soleil is propped by means of a tie back at 45º it may not affect the size of the curtain walling mullion.</t>
        </r>
        <r>
          <rPr>
            <sz val="8"/>
            <color indexed="81"/>
            <rFont val="Tahoma"/>
            <family val="2"/>
          </rPr>
          <t xml:space="preserve">
</t>
        </r>
      </text>
    </comment>
    <comment ref="G64" authorId="0" shapeId="0">
      <text>
        <r>
          <rPr>
            <b/>
            <sz val="8"/>
            <color indexed="81"/>
            <rFont val="Tahoma"/>
            <family val="2"/>
          </rPr>
          <t>Insert distance between Brise Soleil brackets. Brise Soleil may be designed to span across multiple mullions. Ensure bracket centres coincide with the appropriate mullion centres.</t>
        </r>
        <r>
          <rPr>
            <sz val="8"/>
            <color indexed="81"/>
            <rFont val="Tahoma"/>
            <family val="2"/>
          </rPr>
          <t xml:space="preserve">
</t>
        </r>
      </text>
    </comment>
    <comment ref="M64" authorId="0" shapeId="0">
      <text>
        <r>
          <rPr>
            <b/>
            <sz val="8"/>
            <color indexed="81"/>
            <rFont val="Tahoma"/>
            <family val="2"/>
          </rPr>
          <t>Select position of Brise Soleil fixing back to curtain walling mullion. Brise Soleil fixed to lower portion of mullion "bottom" or upper portion of mullion "Top" or 2 No. Brise Soleil fitted to the upper and lower portions of the mullion "Both".</t>
        </r>
      </text>
    </comment>
    <comment ref="G66" authorId="0" shapeId="0">
      <text>
        <r>
          <rPr>
            <sz val="8"/>
            <color indexed="81"/>
            <rFont val="Tahoma"/>
            <family val="2"/>
          </rPr>
          <t>Select size of aerofoil blade required.</t>
        </r>
      </text>
    </comment>
    <comment ref="M66" authorId="0" shapeId="0">
      <text>
        <r>
          <rPr>
            <b/>
            <sz val="8"/>
            <color indexed="81"/>
            <rFont val="Tahoma"/>
            <family val="2"/>
          </rPr>
          <t>Insert the dimension from the base of the curtain walling mullion to the centre line of the lower Brise Soleil bracket.</t>
        </r>
      </text>
    </comment>
    <comment ref="G68" authorId="0" shapeId="0">
      <text>
        <r>
          <rPr>
            <b/>
            <sz val="8"/>
            <color indexed="81"/>
            <rFont val="Tahoma"/>
            <family val="2"/>
          </rPr>
          <t>Select number of aerofoil blades required (excluding the 'D section' termination profile).</t>
        </r>
        <r>
          <rPr>
            <sz val="8"/>
            <color indexed="81"/>
            <rFont val="Tahoma"/>
            <family val="2"/>
          </rPr>
          <t xml:space="preserve">
</t>
        </r>
      </text>
    </comment>
    <comment ref="M68" authorId="0" shapeId="0">
      <text>
        <r>
          <rPr>
            <b/>
            <sz val="8"/>
            <color indexed="81"/>
            <rFont val="Tahoma"/>
            <family val="2"/>
          </rPr>
          <t>Insert the dimension from the intermediate tie back position on the curtain walling mullion to the centre line of the upper Brise Soleil bracket.</t>
        </r>
      </text>
    </comment>
    <comment ref="M70" authorId="0" shapeId="0">
      <text>
        <r>
          <rPr>
            <b/>
            <sz val="8"/>
            <color indexed="81"/>
            <rFont val="Tahoma"/>
            <family val="2"/>
          </rPr>
          <t>Select whether the curtain walling mullion is to be reinforced with an aluminium spigot or not.</t>
        </r>
      </text>
    </comment>
    <comment ref="D72" authorId="0" shapeId="0">
      <text>
        <r>
          <rPr>
            <b/>
            <sz val="8"/>
            <color indexed="81"/>
            <rFont val="Tahoma"/>
            <family val="2"/>
          </rPr>
          <t>Recommended minimum mullion profile or profile combination required to support the Brise Soleil based on the input data. This will differ from the mullion section calculated above which assumes no Brise Soleil is attached.</t>
        </r>
      </text>
    </comment>
  </commentList>
</comments>
</file>

<file path=xl/comments6.xml><?xml version="1.0" encoding="utf-8"?>
<comments xmlns="http://schemas.openxmlformats.org/spreadsheetml/2006/main">
  <authors>
    <author xml:space="preserve"> </author>
    <author>Joern Philippi</author>
  </authors>
  <commentList>
    <comment ref="F33" authorId="0" shapeId="0">
      <text>
        <r>
          <rPr>
            <b/>
            <sz val="8"/>
            <color indexed="81"/>
            <rFont val="Tahoma"/>
            <family val="2"/>
          </rPr>
          <t>The design dead load is based on the weight of the glass per m2. This can be calculated by multiplying the thickness of the glass by 0.025N/mm i.e. a 6/16/6 unit would have a dead load of 12 x 0.025 = 0.3kN/m2</t>
        </r>
      </text>
    </comment>
    <comment ref="I33" authorId="0" shapeId="0">
      <text>
        <r>
          <rPr>
            <b/>
            <sz val="8"/>
            <color indexed="81"/>
            <rFont val="Tahoma"/>
            <family val="2"/>
          </rPr>
          <t>Select version of System 17 required. If system option is not available in this drop down menu then this spread sheet is not applicable and should not be used.</t>
        </r>
      </text>
    </comment>
    <comment ref="F35" authorId="0" shapeId="0">
      <text>
        <r>
          <rPr>
            <b/>
            <sz val="8"/>
            <color indexed="81"/>
            <rFont val="Tahoma"/>
            <family val="2"/>
          </rPr>
          <t>You can select either 'Custom' or 'BS 6399-2 Standard'. If you select 'Custom' you must enter the appropriate wind load in the input box opposite. If you select 'BS 6399-2 Standard' the software will automatically use the highest wind load calculated on the 'BS 6399-2 Standard Method' sheet of this spread sheet.</t>
        </r>
      </text>
    </comment>
    <comment ref="I35" authorId="0" shapeId="0">
      <text>
        <r>
          <rPr>
            <b/>
            <sz val="8"/>
            <color indexed="81"/>
            <rFont val="Tahoma"/>
            <family val="2"/>
          </rPr>
          <t>If you have previously selected that the Wind load application is 'Custom' enter the appropriate wind load in kN/m2 here. If you select 'BS 6399-2 Standard' any figure entered within this box is ignored.</t>
        </r>
      </text>
    </comment>
    <comment ref="M35" authorId="0" shapeId="0">
      <text>
        <r>
          <rPr>
            <b/>
            <sz val="8"/>
            <color indexed="81"/>
            <rFont val="Tahoma"/>
            <family val="2"/>
          </rPr>
          <t>Insert the angle of inclination of the screen. If perpendicular to ground level angle = 90 degrees. If leaning towards the building and in roof applications angle is &lt; 90 degrees. If leaning away from the building angle is &gt; 90 degrees.</t>
        </r>
      </text>
    </comment>
    <comment ref="Q35" authorId="1" shapeId="0">
      <text>
        <r>
          <rPr>
            <b/>
            <sz val="8"/>
            <color indexed="81"/>
            <rFont val="Tahoma"/>
            <family val="2"/>
          </rPr>
          <t>Snow load of 0.75kN/m2 applies if angle is
between 0 and 60º.</t>
        </r>
      </text>
    </comment>
    <comment ref="F37" authorId="0" shapeId="0">
      <text>
        <r>
          <rPr>
            <b/>
            <sz val="8"/>
            <color indexed="81"/>
            <rFont val="Tahoma"/>
            <family val="2"/>
          </rPr>
          <t>Insert dimension 'A' as indicated above to transom centres.</t>
        </r>
      </text>
    </comment>
    <comment ref="O37" authorId="0" shapeId="0">
      <text>
        <r>
          <rPr>
            <b/>
            <sz val="8"/>
            <color indexed="81"/>
            <rFont val="Tahoma"/>
            <family val="2"/>
          </rPr>
          <t>Design wind load used within this calculation based on selected 'Wind load application'.</t>
        </r>
      </text>
    </comment>
    <comment ref="F39" authorId="0" shapeId="0">
      <text>
        <r>
          <rPr>
            <b/>
            <sz val="8"/>
            <color indexed="81"/>
            <rFont val="Tahoma"/>
            <family val="2"/>
          </rPr>
          <t xml:space="preserve">Insert dimension 'B' as indicated above to transom centres.
</t>
        </r>
      </text>
    </comment>
    <comment ref="I40" authorId="0" shapeId="0">
      <text>
        <r>
          <rPr>
            <b/>
            <sz val="8"/>
            <color indexed="81"/>
            <rFont val="Tahoma"/>
            <family val="2"/>
          </rPr>
          <t>Recommended minimum transom profile  based on input data to accommodate wind load, dead load and snow load.</t>
        </r>
      </text>
    </comment>
    <comment ref="F41" authorId="0" shapeId="0">
      <text>
        <r>
          <rPr>
            <b/>
            <sz val="8"/>
            <color indexed="81"/>
            <rFont val="Tahoma"/>
            <family val="2"/>
          </rPr>
          <t>Insert dimension 'C' as indicated above to mullion centres.</t>
        </r>
      </text>
    </comment>
    <comment ref="F43" authorId="0" shapeId="0">
      <text>
        <r>
          <rPr>
            <b/>
            <sz val="8"/>
            <color indexed="81"/>
            <rFont val="Tahoma"/>
            <family val="2"/>
          </rPr>
          <t xml:space="preserve">Insert dimension 'D' as indicated above from edge of mullion to centre of glazing supports. </t>
        </r>
      </text>
    </comment>
    <comment ref="F46" authorId="0" shapeId="0">
      <text>
        <r>
          <rPr>
            <b/>
            <sz val="8"/>
            <color indexed="81"/>
            <rFont val="Tahoma"/>
            <family val="2"/>
          </rPr>
          <t>Maximum permissible deflection of transom in accordance with the recommendations contained within the CWCT Standard for Systemised Building Envelopes 2006 paragraph 3.5.2.5</t>
        </r>
      </text>
    </comment>
  </commentList>
</comments>
</file>

<file path=xl/sharedStrings.xml><?xml version="1.0" encoding="utf-8"?>
<sst xmlns="http://schemas.openxmlformats.org/spreadsheetml/2006/main" count="842" uniqueCount="379">
  <si>
    <t>A</t>
  </si>
  <si>
    <t>B</t>
  </si>
  <si>
    <t>C</t>
  </si>
  <si>
    <t>Wind Load</t>
  </si>
  <si>
    <t>m</t>
  </si>
  <si>
    <t>Max Allowed Def</t>
  </si>
  <si>
    <t>l1</t>
  </si>
  <si>
    <t>l2</t>
  </si>
  <si>
    <t>f1</t>
  </si>
  <si>
    <t>f2</t>
  </si>
  <si>
    <t>Youngs Mod</t>
  </si>
  <si>
    <t>Pa</t>
  </si>
  <si>
    <t>N/m2</t>
  </si>
  <si>
    <t>N/m</t>
  </si>
  <si>
    <t>Required Ixx</t>
  </si>
  <si>
    <t>m4</t>
  </si>
  <si>
    <t>cm4</t>
  </si>
  <si>
    <t>Used Ixx</t>
  </si>
  <si>
    <t>Max Def</t>
  </si>
  <si>
    <t>Reaction at Head</t>
  </si>
  <si>
    <t>Reaction at Cill</t>
  </si>
  <si>
    <t>Span/</t>
  </si>
  <si>
    <t>Fz (N)</t>
  </si>
  <si>
    <t>Fy (N)</t>
  </si>
  <si>
    <t>Dead Load</t>
  </si>
  <si>
    <t>609-200</t>
  </si>
  <si>
    <t>603-201</t>
  </si>
  <si>
    <t>613-213</t>
  </si>
  <si>
    <t>606-206</t>
  </si>
  <si>
    <t>Standard Mullion</t>
  </si>
  <si>
    <t>Standard mullion with extruded box or fin</t>
  </si>
  <si>
    <t>Standard mullion reinforced with 007 or 008</t>
  </si>
  <si>
    <t>2 No. outer frames  plus coupling mullion</t>
  </si>
  <si>
    <t>Door to window coupling 668-669</t>
  </si>
  <si>
    <t>640-200</t>
  </si>
  <si>
    <t>642-201</t>
  </si>
  <si>
    <t>641-200</t>
  </si>
  <si>
    <t>643-201</t>
  </si>
  <si>
    <t>607-206</t>
  </si>
  <si>
    <t>606-207</t>
  </si>
  <si>
    <t>603-218</t>
  </si>
  <si>
    <t>642-218</t>
  </si>
  <si>
    <t>607-207</t>
  </si>
  <si>
    <t>643-218</t>
  </si>
  <si>
    <t>603-201 with 007</t>
  </si>
  <si>
    <t>603-201 with 008</t>
  </si>
  <si>
    <t>665-166</t>
  </si>
  <si>
    <t>665-165</t>
  </si>
  <si>
    <t>667-166</t>
  </si>
  <si>
    <t>667-165</t>
  </si>
  <si>
    <t>Project:</t>
  </si>
  <si>
    <t>Job No:</t>
  </si>
  <si>
    <t>DWG Ref:</t>
  </si>
  <si>
    <t>Input by:</t>
  </si>
  <si>
    <t>Client:</t>
  </si>
  <si>
    <t>Date:</t>
  </si>
  <si>
    <t>Revision:</t>
  </si>
  <si>
    <t>Rev.Date:</t>
  </si>
  <si>
    <t>Page:</t>
  </si>
  <si>
    <t>4-35 and 5-35 Window Mullion</t>
  </si>
  <si>
    <t>Design dead load =</t>
  </si>
  <si>
    <t>kN /m2</t>
  </si>
  <si>
    <t>Wind load application</t>
  </si>
  <si>
    <t>N/A</t>
  </si>
  <si>
    <t>Dimension A =</t>
  </si>
  <si>
    <t>mm</t>
  </si>
  <si>
    <t>Design wind load used within this calculation =</t>
  </si>
  <si>
    <t>kN/m2</t>
  </si>
  <si>
    <t>Dimension B =</t>
  </si>
  <si>
    <t>Window mullion type</t>
  </si>
  <si>
    <t xml:space="preserve">Dimension C = </t>
  </si>
  <si>
    <t>Minimum mullion</t>
  </si>
  <si>
    <t>Ixx of selected mullion</t>
  </si>
  <si>
    <t xml:space="preserve">Mullion deflection </t>
  </si>
  <si>
    <t>Fz</t>
  </si>
  <si>
    <t>Fy</t>
  </si>
  <si>
    <t>Reaction at head</t>
  </si>
  <si>
    <t>kN</t>
  </si>
  <si>
    <t>Reaction at cill</t>
  </si>
  <si>
    <t>Wind Load Custom</t>
  </si>
  <si>
    <t>Fill in project details below;</t>
  </si>
  <si>
    <t>Job Number:</t>
  </si>
  <si>
    <t>DWG Ref.:</t>
  </si>
  <si>
    <t>Rev. Date:</t>
  </si>
  <si>
    <t>Click on links below to navigate to relevant spreadsheet.</t>
  </si>
  <si>
    <t>BS 6399-2 Standard Method</t>
  </si>
  <si>
    <t>Calculates Design Wind Load according to BS 6399-2</t>
  </si>
  <si>
    <t>Calculates the minimum window mullion requirement to accommodate the applicable  wind load  in a multi pane application.</t>
  </si>
  <si>
    <t>4-35 and 5-35 Window Transom</t>
  </si>
  <si>
    <t>Calculates the minimum window transom requirement to accommodate the applicable wind load and dead load in a multi pane application.</t>
  </si>
  <si>
    <t>Curtain Wall Mullion Single Span</t>
  </si>
  <si>
    <t>Calculates the minimum curtain wall mullion requirement to accommodate the applicable wind load (and dead load under sloped conditions) in a single span application.</t>
  </si>
  <si>
    <t>Curtain Wall Mullion Twin Span</t>
  </si>
  <si>
    <t>Calculates the minimum curtain wall mullion requirement to accommodate the applicable wind load (and dead load under sloped conditions) in a twin span application.</t>
  </si>
  <si>
    <t>Curtain Wall Transom</t>
  </si>
  <si>
    <t>Calculates the minimum curtain wall transom requirement to accommodate the applicable wind load and dead load in a multi pane application.</t>
  </si>
  <si>
    <t>Distance upwind of adjacent buildings</t>
  </si>
  <si>
    <t>Average height of roof tops upwind of the building</t>
  </si>
  <si>
    <t xml:space="preserve">Height of building   </t>
  </si>
  <si>
    <t xml:space="preserve">Effective height   </t>
  </si>
  <si>
    <t>Basic wind speed (Vb - See figure 6)</t>
  </si>
  <si>
    <t>m/s</t>
  </si>
  <si>
    <t>Site altitude (metres above sea level)</t>
  </si>
  <si>
    <t>Altitude factor (Sa)</t>
  </si>
  <si>
    <t xml:space="preserve">Wind normal to elevation </t>
  </si>
  <si>
    <t>West</t>
  </si>
  <si>
    <t>Direction factor (Sd)</t>
  </si>
  <si>
    <t>Seasonal factor (Ss)</t>
  </si>
  <si>
    <t>Wind reoccurrence interval (years)</t>
  </si>
  <si>
    <t>years</t>
  </si>
  <si>
    <t>Probability factor (Sp)</t>
  </si>
  <si>
    <t xml:space="preserve">Site wind speed  </t>
  </si>
  <si>
    <t xml:space="preserve">Site in town or country </t>
  </si>
  <si>
    <t>Town</t>
  </si>
  <si>
    <t>Closest distance to sea</t>
  </si>
  <si>
    <t>Km</t>
  </si>
  <si>
    <t>Terrain and building factor from BS 6399 pt 2, Table 4 (Sb)</t>
  </si>
  <si>
    <t xml:space="preserve">Effective wind speed  </t>
  </si>
  <si>
    <t xml:space="preserve">Dynamic wind pressure </t>
  </si>
  <si>
    <r>
      <t>KN/m</t>
    </r>
    <r>
      <rPr>
        <b/>
        <vertAlign val="superscript"/>
        <sz val="11"/>
        <rFont val="Calibri"/>
        <family val="2"/>
        <scheme val="minor"/>
      </rPr>
      <t>2</t>
    </r>
  </si>
  <si>
    <t xml:space="preserve">Crosswind breadth of building  </t>
  </si>
  <si>
    <t xml:space="preserve">Building length  </t>
  </si>
  <si>
    <t xml:space="preserve">Scaling length </t>
  </si>
  <si>
    <t>Depth to height ratio D/H</t>
  </si>
  <si>
    <t>Gap between adjacent buildings</t>
  </si>
  <si>
    <t>Zone</t>
  </si>
  <si>
    <t xml:space="preserve">External Pressure </t>
  </si>
  <si>
    <t xml:space="preserve">Internal Pressure </t>
  </si>
  <si>
    <t>Net Pressure</t>
  </si>
  <si>
    <t xml:space="preserve">Wind </t>
  </si>
  <si>
    <t>Coefficients (Cpe)</t>
  </si>
  <si>
    <t>Coefficients (CpiPi)</t>
  </si>
  <si>
    <t>Coefficients</t>
  </si>
  <si>
    <r>
      <t>Load (KN/m</t>
    </r>
    <r>
      <rPr>
        <vertAlign val="superscript"/>
        <sz val="11"/>
        <rFont val="Calibri"/>
        <family val="2"/>
        <scheme val="minor"/>
      </rPr>
      <t>2</t>
    </r>
    <r>
      <rPr>
        <sz val="11"/>
        <rFont val="Calibri"/>
        <family val="2"/>
        <scheme val="minor"/>
      </rPr>
      <t>)</t>
    </r>
  </si>
  <si>
    <t>Length (m)</t>
  </si>
  <si>
    <t>BS 6399 pt 2 Table 5</t>
  </si>
  <si>
    <t>BS 6339 pt 2 Table16</t>
  </si>
  <si>
    <t>Windward</t>
  </si>
  <si>
    <t>Zone A</t>
  </si>
  <si>
    <t>Zone B</t>
  </si>
  <si>
    <t>Zone C</t>
  </si>
  <si>
    <t>Country</t>
  </si>
  <si>
    <t>Wind Load Calculation (Standard Method) in Accordance With BS6399-2</t>
  </si>
  <si>
    <t>Project No:</t>
  </si>
  <si>
    <t>2005/37</t>
  </si>
  <si>
    <t>North</t>
  </si>
  <si>
    <t>South</t>
  </si>
  <si>
    <t>East</t>
  </si>
  <si>
    <t>Distance in wind direction for building spacing</t>
  </si>
  <si>
    <t>X</t>
  </si>
  <si>
    <r>
      <t>H</t>
    </r>
    <r>
      <rPr>
        <vertAlign val="subscript"/>
        <sz val="10"/>
        <rFont val="Arial"/>
        <family val="2"/>
      </rPr>
      <t>o</t>
    </r>
  </si>
  <si>
    <t>Height of building</t>
  </si>
  <si>
    <r>
      <t>H; H</t>
    </r>
    <r>
      <rPr>
        <vertAlign val="subscript"/>
        <sz val="10"/>
        <rFont val="Arial"/>
        <family val="2"/>
      </rPr>
      <t>r</t>
    </r>
  </si>
  <si>
    <t>Effective height</t>
  </si>
  <si>
    <r>
      <t>H</t>
    </r>
    <r>
      <rPr>
        <vertAlign val="subscript"/>
        <sz val="10"/>
        <rFont val="Arial"/>
        <family val="2"/>
      </rPr>
      <t>e</t>
    </r>
  </si>
  <si>
    <t>Basic wind speed</t>
  </si>
  <si>
    <r>
      <t>V</t>
    </r>
    <r>
      <rPr>
        <vertAlign val="subscript"/>
        <sz val="10"/>
        <rFont val="Arial"/>
        <family val="2"/>
      </rPr>
      <t>b</t>
    </r>
  </si>
  <si>
    <t>Altitude factor</t>
  </si>
  <si>
    <t>Wind normal to elevation (north 0; east; 90; etc)</t>
  </si>
  <si>
    <t>Direction factor</t>
  </si>
  <si>
    <r>
      <t>S</t>
    </r>
    <r>
      <rPr>
        <vertAlign val="subscript"/>
        <sz val="10"/>
        <rFont val="Arial"/>
        <family val="2"/>
      </rPr>
      <t>d</t>
    </r>
  </si>
  <si>
    <t>Seasonal factor</t>
  </si>
  <si>
    <r>
      <t>S</t>
    </r>
    <r>
      <rPr>
        <vertAlign val="subscript"/>
        <sz val="10"/>
        <rFont val="Arial"/>
        <family val="2"/>
      </rPr>
      <t>s</t>
    </r>
  </si>
  <si>
    <t>Wind reoccurance interval (years)</t>
  </si>
  <si>
    <t>Probability factor</t>
  </si>
  <si>
    <r>
      <t>S</t>
    </r>
    <r>
      <rPr>
        <vertAlign val="subscript"/>
        <sz val="10"/>
        <rFont val="Arial"/>
        <family val="2"/>
      </rPr>
      <t>p</t>
    </r>
  </si>
  <si>
    <t>Site wind speed</t>
  </si>
  <si>
    <r>
      <t>V</t>
    </r>
    <r>
      <rPr>
        <vertAlign val="subscript"/>
        <sz val="10"/>
        <rFont val="Arial"/>
        <family val="2"/>
      </rPr>
      <t>s</t>
    </r>
  </si>
  <si>
    <t>Site in town or country (T or C)</t>
  </si>
  <si>
    <t>Terrain and building factor (Table 4)</t>
  </si>
  <si>
    <r>
      <t>S</t>
    </r>
    <r>
      <rPr>
        <vertAlign val="subscript"/>
        <sz val="10"/>
        <rFont val="Arial"/>
        <family val="2"/>
      </rPr>
      <t>b</t>
    </r>
  </si>
  <si>
    <t>Effective wind speed</t>
  </si>
  <si>
    <r>
      <t>V</t>
    </r>
    <r>
      <rPr>
        <vertAlign val="subscript"/>
        <sz val="10"/>
        <rFont val="Arial"/>
        <family val="2"/>
      </rPr>
      <t>e</t>
    </r>
  </si>
  <si>
    <t>Dynamic wind pressure</t>
  </si>
  <si>
    <r>
      <t>q</t>
    </r>
    <r>
      <rPr>
        <vertAlign val="subscript"/>
        <sz val="10"/>
        <rFont val="Arial"/>
        <family val="2"/>
      </rPr>
      <t>s</t>
    </r>
  </si>
  <si>
    <r>
      <t>KN/m</t>
    </r>
    <r>
      <rPr>
        <vertAlign val="superscript"/>
        <sz val="10"/>
        <rFont val="Arial"/>
        <family val="2"/>
      </rPr>
      <t>2</t>
    </r>
  </si>
  <si>
    <t>Crosswind breadth of building</t>
  </si>
  <si>
    <t>Building length</t>
  </si>
  <si>
    <t>L; D</t>
  </si>
  <si>
    <t>Scaling length</t>
  </si>
  <si>
    <t>b</t>
  </si>
  <si>
    <t>D/H</t>
  </si>
  <si>
    <t>Coefficients (Table 5)</t>
  </si>
  <si>
    <t>Coefficients (Table16)</t>
  </si>
  <si>
    <r>
      <t>load (KN/m</t>
    </r>
    <r>
      <rPr>
        <vertAlign val="superscript"/>
        <sz val="9"/>
        <rFont val="Arial"/>
        <family val="2"/>
      </rPr>
      <t>2</t>
    </r>
    <r>
      <rPr>
        <sz val="9"/>
        <rFont val="Arial"/>
        <family val="2"/>
      </rPr>
      <t>)</t>
    </r>
  </si>
  <si>
    <t>He</t>
  </si>
  <si>
    <t>Sd</t>
  </si>
  <si>
    <t>Sp</t>
  </si>
  <si>
    <t>b/4</t>
  </si>
  <si>
    <t>b/2</t>
  </si>
  <si>
    <t>BS6399-2 Standard Method</t>
  </si>
  <si>
    <t>Rev. Date</t>
  </si>
  <si>
    <t xml:space="preserve">  </t>
  </si>
  <si>
    <t>Design dead load</t>
  </si>
  <si>
    <t>Dimension C =</t>
  </si>
  <si>
    <t>Window transom type</t>
  </si>
  <si>
    <t>Dimension D =</t>
  </si>
  <si>
    <t>Standard transom</t>
  </si>
  <si>
    <t>Minimum Transom</t>
  </si>
  <si>
    <t>Ixx of selected transom</t>
  </si>
  <si>
    <t>Required Iyy</t>
  </si>
  <si>
    <t>Iyy of selected transom</t>
  </si>
  <si>
    <t xml:space="preserve">Horizontal transom deflection </t>
  </si>
  <si>
    <t>under wind load</t>
  </si>
  <si>
    <t xml:space="preserve">Vertical transom deflection </t>
  </si>
  <si>
    <t>under dead load</t>
  </si>
  <si>
    <t>Reactions at connection</t>
  </si>
  <si>
    <t>Fz =</t>
  </si>
  <si>
    <t>Fy =</t>
  </si>
  <si>
    <t>Maximum permissible deflection in</t>
  </si>
  <si>
    <t>accordance with CWCT 3.5.2.5</t>
  </si>
  <si>
    <t>BS 6399-2 Standard</t>
  </si>
  <si>
    <t>NA</t>
  </si>
  <si>
    <t>D</t>
  </si>
  <si>
    <t>Max Allowed Def y</t>
  </si>
  <si>
    <t>fy</t>
  </si>
  <si>
    <t>N</t>
  </si>
  <si>
    <t>Standard transom with extruded box or fin</t>
  </si>
  <si>
    <t>Standard transom reinforced with 007 or 008</t>
  </si>
  <si>
    <t>Used Iyy</t>
  </si>
  <si>
    <t>Curtain Walling Mullion Single Span</t>
  </si>
  <si>
    <t>Curtain Walling System</t>
  </si>
  <si>
    <t>Design Dead Load =</t>
  </si>
  <si>
    <t>System 17 Latitude</t>
  </si>
  <si>
    <t>Incline</t>
  </si>
  <si>
    <t>degrees from the horizontal</t>
  </si>
  <si>
    <t>System 17 mullion type</t>
  </si>
  <si>
    <t>Reinforcement</t>
  </si>
  <si>
    <t>Aluminium Spigot</t>
  </si>
  <si>
    <t>Dead load supported at</t>
  </si>
  <si>
    <t>Cill (Bottom Stacked)</t>
  </si>
  <si>
    <t>Minimum Mullion</t>
  </si>
  <si>
    <t xml:space="preserve">Ixx of selected mullion </t>
  </si>
  <si>
    <t xml:space="preserve">Additional assessment of curtain walling mullion with cantilevered Brise Soleil attachment </t>
  </si>
  <si>
    <t>Brise Soleil bracket centres</t>
  </si>
  <si>
    <t>Dimension Z =</t>
  </si>
  <si>
    <t>Brise Soleil blade size</t>
  </si>
  <si>
    <t>No of blades</t>
  </si>
  <si>
    <t>Cantilever =</t>
  </si>
  <si>
    <t xml:space="preserve">Minimum mullion with </t>
  </si>
  <si>
    <t>Brise Soleil attached</t>
  </si>
  <si>
    <t>Note:</t>
  </si>
  <si>
    <r>
      <t xml:space="preserve">This calculation is for verification of </t>
    </r>
    <r>
      <rPr>
        <b/>
        <u/>
        <sz val="11"/>
        <color rgb="FFFF0000"/>
        <rFont val="Calibri"/>
        <family val="2"/>
        <scheme val="minor"/>
      </rPr>
      <t>mullion</t>
    </r>
    <r>
      <rPr>
        <b/>
        <sz val="11"/>
        <color rgb="FFFF0000"/>
        <rFont val="Calibri"/>
        <family val="2"/>
        <scheme val="minor"/>
      </rPr>
      <t xml:space="preserve"> with Brise Soleil attached only!  The verification of the Brise Soleil construction must be carried out separately.</t>
    </r>
  </si>
  <si>
    <t>Head (Top Hung)</t>
  </si>
  <si>
    <t>Box Mullion</t>
  </si>
  <si>
    <t>Elliptical Mullion</t>
  </si>
  <si>
    <t>System 17</t>
  </si>
  <si>
    <t>System 17 SP</t>
  </si>
  <si>
    <t>HR5000 (50mm)</t>
  </si>
  <si>
    <t>HR5001 (75mm) with HR5020 spigot</t>
  </si>
  <si>
    <t>HR5001 (75mm)</t>
  </si>
  <si>
    <t>HR5002 (100mm) with HR5021 spigot</t>
  </si>
  <si>
    <t>HR5002 (100mm)</t>
  </si>
  <si>
    <t>HR5003 (125mm) with HR5022 spigot</t>
  </si>
  <si>
    <t>HR5003 (125mm)</t>
  </si>
  <si>
    <t>HR5004 (150mm) with HR5023 spigot</t>
  </si>
  <si>
    <t>HR5004 (150mm)</t>
  </si>
  <si>
    <t>HR50163 (175mm) with HR50164 spigot</t>
  </si>
  <si>
    <t>HR50163 (175mm)</t>
  </si>
  <si>
    <t>HR5005 (200mm) with HR5026 spigot</t>
  </si>
  <si>
    <t>HR5005 (200mm)</t>
  </si>
  <si>
    <t>HR5006 (230mm)</t>
  </si>
  <si>
    <t>HR5007 with HR5024 spigot</t>
  </si>
  <si>
    <t>HR5007</t>
  </si>
  <si>
    <t>None</t>
  </si>
  <si>
    <t>Total Active Area</t>
  </si>
  <si>
    <t>200 list</t>
  </si>
  <si>
    <t>150 list</t>
  </si>
  <si>
    <t>Total Area</t>
  </si>
  <si>
    <t>Total Force</t>
  </si>
  <si>
    <t>Moment</t>
  </si>
  <si>
    <t>Z Adjust</t>
  </si>
  <si>
    <t>L</t>
  </si>
  <si>
    <t>x pos of disp</t>
  </si>
  <si>
    <t>Req Ixx</t>
  </si>
  <si>
    <t>Page :</t>
  </si>
  <si>
    <t>Curtain Walling Mullion Twin Span</t>
  </si>
  <si>
    <t>degrees from horizontal</t>
  </si>
  <si>
    <t xml:space="preserve">Design  wind load used within this calculation = </t>
  </si>
  <si>
    <t>Maximum permissible deflection</t>
  </si>
  <si>
    <t xml:space="preserve">Reaction at Head </t>
  </si>
  <si>
    <t>Reaction at Intermediate fixing</t>
  </si>
  <si>
    <t xml:space="preserve">Reaction at Cill </t>
  </si>
  <si>
    <t>Brise Soleil positioned at</t>
  </si>
  <si>
    <t>Both</t>
  </si>
  <si>
    <t>Blade Size</t>
  </si>
  <si>
    <t>Dimension S =</t>
  </si>
  <si>
    <t xml:space="preserve">Cantilever = </t>
  </si>
  <si>
    <t>This calculation is for verification of mullion with Brise Soleil attached only! The verification of the Brise Soleil construction must be carried out separately.</t>
  </si>
  <si>
    <t>Top</t>
  </si>
  <si>
    <t>Bottom</t>
  </si>
  <si>
    <t>Midsupport</t>
  </si>
  <si>
    <t>Req Ixx BS only</t>
  </si>
  <si>
    <t>Worst Case Ixx</t>
  </si>
  <si>
    <t>Total Required Ixx</t>
  </si>
  <si>
    <t>Curtain Walling Transom</t>
  </si>
  <si>
    <t>Inclined</t>
  </si>
  <si>
    <t>degrees  from horizontal</t>
  </si>
  <si>
    <t>Dimension A</t>
  </si>
  <si>
    <t>Dimension B</t>
  </si>
  <si>
    <t>Minimum transom</t>
  </si>
  <si>
    <t>Dimension C</t>
  </si>
  <si>
    <t>Dimension D</t>
  </si>
  <si>
    <t>Transom Connection</t>
  </si>
  <si>
    <t>in accordance with CWCT 3.5.2.5</t>
  </si>
  <si>
    <t>Ixx selected transom</t>
  </si>
  <si>
    <t>Iyy selected transom</t>
  </si>
  <si>
    <t>Youngs</t>
  </si>
  <si>
    <t>SL</t>
  </si>
  <si>
    <t>Max Def y</t>
  </si>
  <si>
    <t>Max Def x</t>
  </si>
  <si>
    <t>IXX loads</t>
  </si>
  <si>
    <t>WL1</t>
  </si>
  <si>
    <t>DL1</t>
  </si>
  <si>
    <t>SL1</t>
  </si>
  <si>
    <t>WL2</t>
  </si>
  <si>
    <t>DL2</t>
  </si>
  <si>
    <t>SL2</t>
  </si>
  <si>
    <t>Angle Rad</t>
  </si>
  <si>
    <t>F1</t>
  </si>
  <si>
    <t>F2</t>
  </si>
  <si>
    <t>IXX1</t>
  </si>
  <si>
    <t>IXX2</t>
  </si>
  <si>
    <t>IXX</t>
  </si>
  <si>
    <t>IYY loads</t>
  </si>
  <si>
    <t>DL</t>
  </si>
  <si>
    <t>F</t>
  </si>
  <si>
    <t>IYY</t>
  </si>
  <si>
    <t>HR5009 (T-Bar)</t>
  </si>
  <si>
    <t>Ixx</t>
  </si>
  <si>
    <t>Iyy</t>
  </si>
  <si>
    <t>XDef</t>
  </si>
  <si>
    <t>YDef</t>
  </si>
  <si>
    <t>T Density</t>
  </si>
  <si>
    <t>IXX3</t>
  </si>
  <si>
    <t>IYY1</t>
  </si>
  <si>
    <t>IYY2</t>
  </si>
  <si>
    <t>IXX def</t>
  </si>
  <si>
    <t>Def1</t>
  </si>
  <si>
    <t>Def2</t>
  </si>
  <si>
    <t>Def3</t>
  </si>
  <si>
    <t>Def</t>
  </si>
  <si>
    <t>Span</t>
  </si>
  <si>
    <t>Reaction</t>
  </si>
  <si>
    <t>Head</t>
  </si>
  <si>
    <t>Cill</t>
  </si>
  <si>
    <t>Total Req Ixx</t>
  </si>
  <si>
    <t>Max C/D doubled</t>
  </si>
  <si>
    <t>Applying as constant pressure here so load adjusted on row 16</t>
  </si>
  <si>
    <t>HR50410 (50mm)</t>
  </si>
  <si>
    <t>HR50417 (79mm)</t>
  </si>
  <si>
    <t>HR50418 (105mm)</t>
  </si>
  <si>
    <t>HR50419 (130mm)</t>
  </si>
  <si>
    <t>HR50427 (155mm)</t>
  </si>
  <si>
    <t>HR50428 (205mm</t>
  </si>
  <si>
    <t>HR50465 (180mm)</t>
  </si>
  <si>
    <t>613-221</t>
  </si>
  <si>
    <t>Coupling Mullion Only</t>
  </si>
  <si>
    <t>105-205F, 668-669, 600-200</t>
  </si>
  <si>
    <t>665-165 2 X 600-200</t>
  </si>
  <si>
    <t>665-166 2 X 600-200</t>
  </si>
  <si>
    <t>667-166 2 X 600-200</t>
  </si>
  <si>
    <t>667-165 2 X 600-200</t>
  </si>
  <si>
    <t>HR50601 (75mm)</t>
  </si>
  <si>
    <t>HR50602 (100mm)</t>
  </si>
  <si>
    <t>HR50603 (125mm)</t>
  </si>
  <si>
    <t>HR 50604 (150mm)</t>
  </si>
  <si>
    <t>HR50601 (75mm) with HR 5020 spigot</t>
  </si>
  <si>
    <t>HR50602 (100mm) with HR5021 spigot</t>
  </si>
  <si>
    <t>HR50603 (125mm) with HR5022 spigot</t>
  </si>
  <si>
    <t>HR 50604 (150mm) with HR5023 spigot</t>
  </si>
  <si>
    <t>HR50617 (79mm)</t>
  </si>
  <si>
    <t>HR50618 (105mm)</t>
  </si>
  <si>
    <t>HR50619 (130mm)</t>
  </si>
  <si>
    <t>HR50627 (155mm)</t>
  </si>
  <si>
    <t>Maximum permissible deflection in accordance</t>
  </si>
  <si>
    <t>with CWCT 3.5.2.2</t>
  </si>
  <si>
    <t>with CWCT 3.5.2.5</t>
  </si>
  <si>
    <t>F3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</si>
</sst>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dd/mm/yyyy;@"/>
    <numFmt numFmtId="166" formatCode="0.000"/>
    <numFmt numFmtId="167" formatCode="0.00000000E+00"/>
  </numFmts>
  <fonts count="61" x14ac:knownFonts="1">
    <font>
      <sz val="11"/>
      <color theme="1"/>
      <name val="Calibri"/>
      <family val="2"/>
      <scheme val="minor"/>
    </font>
    <font>
      <sz val="11"/>
      <color rgb="FFFF0000"/>
      <name val="Calibri"/>
      <family val="2"/>
      <scheme val="minor"/>
    </font>
    <font>
      <sz val="11"/>
      <name val="Calibri"/>
      <family val="2"/>
      <scheme val="minor"/>
    </font>
    <font>
      <sz val="10"/>
      <name val="Arial"/>
      <family val="2"/>
    </font>
    <font>
      <b/>
      <sz val="11"/>
      <color theme="0"/>
      <name val="Calibri"/>
      <family val="2"/>
      <scheme val="minor"/>
    </font>
    <font>
      <b/>
      <sz val="11"/>
      <color theme="1"/>
      <name val="Calibri"/>
      <family val="2"/>
      <scheme val="minor"/>
    </font>
    <font>
      <sz val="11"/>
      <color theme="0"/>
      <name val="Calibri"/>
      <family val="2"/>
      <scheme val="minor"/>
    </font>
    <font>
      <b/>
      <sz val="9"/>
      <name val="Calibri"/>
      <family val="2"/>
      <scheme val="minor"/>
    </font>
    <font>
      <b/>
      <sz val="11"/>
      <color rgb="FFFF0000"/>
      <name val="Calibri"/>
      <family val="2"/>
      <scheme val="minor"/>
    </font>
    <font>
      <sz val="9"/>
      <name val="Calibri"/>
      <family val="2"/>
      <scheme val="minor"/>
    </font>
    <font>
      <sz val="11"/>
      <color theme="0" tint="-0.14999847407452621"/>
      <name val="Calibri"/>
      <family val="2"/>
      <scheme val="minor"/>
    </font>
    <font>
      <b/>
      <u/>
      <sz val="24"/>
      <name val="Calibri"/>
      <family val="2"/>
      <scheme val="minor"/>
    </font>
    <font>
      <b/>
      <sz val="9"/>
      <color theme="1"/>
      <name val="Calibri"/>
      <family val="2"/>
      <scheme val="minor"/>
    </font>
    <font>
      <b/>
      <u/>
      <sz val="14"/>
      <name val="Calibri"/>
      <family val="2"/>
      <scheme val="minor"/>
    </font>
    <font>
      <sz val="9"/>
      <color theme="0"/>
      <name val="Calibri"/>
      <family val="2"/>
      <scheme val="minor"/>
    </font>
    <font>
      <sz val="9"/>
      <color theme="1"/>
      <name val="Calibri"/>
      <family val="2"/>
      <scheme val="minor"/>
    </font>
    <font>
      <b/>
      <sz val="8"/>
      <name val="Calibri"/>
      <family val="2"/>
      <scheme val="minor"/>
    </font>
    <font>
      <b/>
      <sz val="11"/>
      <name val="Calibri"/>
      <family val="2"/>
      <scheme val="minor"/>
    </font>
    <font>
      <b/>
      <sz val="12"/>
      <color rgb="FFFF0000"/>
      <name val="Calibri"/>
      <family val="2"/>
      <scheme val="minor"/>
    </font>
    <font>
      <b/>
      <sz val="12"/>
      <color theme="1"/>
      <name val="Calibri"/>
      <family val="2"/>
      <scheme val="minor"/>
    </font>
    <font>
      <b/>
      <sz val="12"/>
      <name val="Calibri"/>
      <family val="2"/>
      <scheme val="minor"/>
    </font>
    <font>
      <b/>
      <sz val="9"/>
      <color theme="0" tint="-0.249977111117893"/>
      <name val="Calibri"/>
      <family val="2"/>
      <scheme val="minor"/>
    </font>
    <font>
      <b/>
      <sz val="14"/>
      <name val="Calibri"/>
      <family val="2"/>
      <scheme val="minor"/>
    </font>
    <font>
      <b/>
      <sz val="14"/>
      <color rgb="FFFF0000"/>
      <name val="Calibri"/>
      <family val="2"/>
      <scheme val="minor"/>
    </font>
    <font>
      <sz val="11"/>
      <color theme="4"/>
      <name val="Calibri"/>
      <family val="2"/>
      <scheme val="minor"/>
    </font>
    <font>
      <b/>
      <sz val="10"/>
      <name val="Calibri"/>
      <family val="2"/>
      <scheme val="minor"/>
    </font>
    <font>
      <sz val="11"/>
      <color theme="0" tint="-0.249977111117893"/>
      <name val="Calibri"/>
      <family val="2"/>
      <scheme val="minor"/>
    </font>
    <font>
      <sz val="9"/>
      <color theme="0" tint="-0.249977111117893"/>
      <name val="Calibri"/>
      <family val="2"/>
      <scheme val="minor"/>
    </font>
    <font>
      <b/>
      <sz val="11"/>
      <color theme="0" tint="-0.249977111117893"/>
      <name val="Calibri"/>
      <family val="2"/>
      <scheme val="minor"/>
    </font>
    <font>
      <sz val="8"/>
      <name val="Calibri"/>
      <family val="2"/>
      <scheme val="minor"/>
    </font>
    <font>
      <u/>
      <sz val="11"/>
      <color theme="10"/>
      <name val="Calibri"/>
      <family val="2"/>
    </font>
    <font>
      <b/>
      <sz val="11"/>
      <color theme="10"/>
      <name val="Calibri"/>
      <family val="2"/>
    </font>
    <font>
      <b/>
      <u/>
      <sz val="11"/>
      <color theme="10"/>
      <name val="Calibri"/>
      <family val="2"/>
    </font>
    <font>
      <b/>
      <sz val="8"/>
      <color theme="1"/>
      <name val="Calibri"/>
      <family val="2"/>
      <scheme val="minor"/>
    </font>
    <font>
      <b/>
      <vertAlign val="superscript"/>
      <sz val="11"/>
      <name val="Calibri"/>
      <family val="2"/>
      <scheme val="minor"/>
    </font>
    <font>
      <vertAlign val="superscript"/>
      <sz val="11"/>
      <name val="Calibri"/>
      <family val="2"/>
      <scheme val="minor"/>
    </font>
    <font>
      <b/>
      <sz val="11"/>
      <color theme="10"/>
      <name val="Calibri"/>
      <family val="2"/>
      <scheme val="minor"/>
    </font>
    <font>
      <b/>
      <sz val="8"/>
      <color indexed="81"/>
      <name val="Tahoma"/>
      <family val="2"/>
    </font>
    <font>
      <sz val="8"/>
      <color indexed="81"/>
      <name val="Tahoma"/>
      <family val="2"/>
    </font>
    <font>
      <sz val="9"/>
      <name val="Arial"/>
      <family val="2"/>
    </font>
    <font>
      <vertAlign val="subscript"/>
      <sz val="10"/>
      <name val="Arial"/>
      <family val="2"/>
    </font>
    <font>
      <vertAlign val="superscript"/>
      <sz val="10"/>
      <name val="Arial"/>
      <family val="2"/>
    </font>
    <font>
      <b/>
      <sz val="10"/>
      <name val="Arial"/>
      <family val="2"/>
    </font>
    <font>
      <b/>
      <sz val="9"/>
      <name val="Arial"/>
      <family val="2"/>
    </font>
    <font>
      <vertAlign val="superscript"/>
      <sz val="9"/>
      <name val="Arial"/>
      <family val="2"/>
    </font>
    <font>
      <sz val="7"/>
      <name val="Arial"/>
      <family val="2"/>
    </font>
    <font>
      <b/>
      <u/>
      <sz val="14"/>
      <color theme="1"/>
      <name val="Calibri"/>
      <family val="2"/>
      <scheme val="minor"/>
    </font>
    <font>
      <b/>
      <sz val="14"/>
      <color theme="1"/>
      <name val="Calibri"/>
      <family val="2"/>
      <scheme val="minor"/>
    </font>
    <font>
      <b/>
      <sz val="11"/>
      <color theme="4"/>
      <name val="Calibri"/>
      <family val="2"/>
      <scheme val="minor"/>
    </font>
    <font>
      <b/>
      <sz val="14"/>
      <color theme="4"/>
      <name val="Calibri"/>
      <family val="2"/>
      <scheme val="minor"/>
    </font>
    <font>
      <b/>
      <sz val="16"/>
      <color rgb="FFFF0000"/>
      <name val="Calibri"/>
      <family val="2"/>
      <scheme val="minor"/>
    </font>
    <font>
      <sz val="9"/>
      <color indexed="81"/>
      <name val="Tahoma"/>
      <family val="2"/>
    </font>
    <font>
      <sz val="14"/>
      <color theme="1"/>
      <name val="Calibri"/>
      <family val="2"/>
      <scheme val="minor"/>
    </font>
    <font>
      <u/>
      <sz val="11"/>
      <color theme="1"/>
      <name val="Calibri"/>
      <family val="2"/>
      <scheme val="minor"/>
    </font>
    <font>
      <b/>
      <u/>
      <sz val="11"/>
      <color rgb="FFFF0000"/>
      <name val="Calibri"/>
      <family val="2"/>
      <scheme val="minor"/>
    </font>
    <font>
      <b/>
      <u/>
      <sz val="10"/>
      <name val="Calibri"/>
      <family val="2"/>
      <scheme val="minor"/>
    </font>
    <font>
      <sz val="1"/>
      <name val="Calibri"/>
      <family val="2"/>
      <scheme val="minor"/>
    </font>
    <font>
      <sz val="14"/>
      <name val="Calibri"/>
      <family val="2"/>
      <scheme val="minor"/>
    </font>
    <font>
      <b/>
      <sz val="10"/>
      <color theme="10"/>
      <name val="Calibri"/>
      <family val="2"/>
    </font>
    <font>
      <b/>
      <sz val="10"/>
      <color theme="1"/>
      <name val="Calibri"/>
      <family val="2"/>
      <scheme val="minor"/>
    </font>
    <font>
      <sz val="10"/>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1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s>
  <borders count="2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3" fillId="0" borderId="0"/>
    <xf numFmtId="0" fontId="30" fillId="0" borderId="0" applyNumberFormat="0" applyFill="0" applyBorder="0" applyAlignment="0" applyProtection="0">
      <alignment vertical="top"/>
      <protection locked="0"/>
    </xf>
  </cellStyleXfs>
  <cellXfs count="610">
    <xf numFmtId="0" fontId="0" fillId="0" borderId="0" xfId="0"/>
    <xf numFmtId="0" fontId="2" fillId="0" borderId="0" xfId="0" applyFont="1"/>
    <xf numFmtId="0" fontId="0" fillId="2" borderId="1" xfId="0" applyFill="1" applyBorder="1" applyProtection="1">
      <protection hidden="1"/>
    </xf>
    <xf numFmtId="0" fontId="0" fillId="2" borderId="2" xfId="0" applyFill="1" applyBorder="1" applyProtection="1">
      <protection hidden="1"/>
    </xf>
    <xf numFmtId="0" fontId="0" fillId="2" borderId="3" xfId="0" applyFill="1" applyBorder="1" applyProtection="1">
      <protection hidden="1"/>
    </xf>
    <xf numFmtId="0" fontId="0" fillId="2" borderId="4" xfId="0" applyFill="1" applyBorder="1" applyProtection="1">
      <protection hidden="1"/>
    </xf>
    <xf numFmtId="0" fontId="0" fillId="2" borderId="0" xfId="0" applyFill="1" applyBorder="1" applyProtection="1">
      <protection hidden="1"/>
    </xf>
    <xf numFmtId="0" fontId="0" fillId="2" borderId="0" xfId="0" applyFill="1"/>
    <xf numFmtId="0" fontId="0" fillId="2" borderId="5" xfId="0" applyFill="1" applyBorder="1"/>
    <xf numFmtId="0" fontId="2" fillId="2" borderId="4" xfId="0" applyFont="1" applyFill="1" applyBorder="1" applyProtection="1">
      <protection hidden="1"/>
    </xf>
    <xf numFmtId="0" fontId="2" fillId="2" borderId="0" xfId="0" applyFont="1" applyFill="1" applyBorder="1" applyProtection="1">
      <protection hidden="1"/>
    </xf>
    <xf numFmtId="0" fontId="0" fillId="2" borderId="0" xfId="0" applyFill="1" applyBorder="1"/>
    <xf numFmtId="0" fontId="7" fillId="2" borderId="5" xfId="0" applyFont="1" applyFill="1" applyBorder="1" applyAlignment="1" applyProtection="1">
      <protection locked="0" hidden="1"/>
    </xf>
    <xf numFmtId="1" fontId="7" fillId="2" borderId="5" xfId="0" applyNumberFormat="1" applyFont="1" applyFill="1" applyBorder="1" applyAlignment="1" applyProtection="1">
      <protection locked="0" hidden="1"/>
    </xf>
    <xf numFmtId="0" fontId="7" fillId="2" borderId="0" xfId="0" applyFont="1" applyFill="1" applyBorder="1" applyAlignment="1" applyProtection="1">
      <protection hidden="1"/>
    </xf>
    <xf numFmtId="0" fontId="2" fillId="2" borderId="5" xfId="0" applyFont="1" applyFill="1" applyBorder="1" applyProtection="1">
      <protection hidden="1"/>
    </xf>
    <xf numFmtId="0" fontId="7" fillId="2" borderId="0" xfId="0" applyFont="1" applyFill="1" applyBorder="1" applyProtection="1">
      <protection hidden="1"/>
    </xf>
    <xf numFmtId="0" fontId="10" fillId="2" borderId="0" xfId="0" applyFont="1" applyFill="1" applyBorder="1" applyProtection="1">
      <protection hidden="1"/>
    </xf>
    <xf numFmtId="0" fontId="11" fillId="2" borderId="0" xfId="0" applyFont="1" applyFill="1" applyBorder="1" applyProtection="1">
      <protection hidden="1"/>
    </xf>
    <xf numFmtId="0" fontId="7" fillId="2" borderId="6" xfId="0" applyFont="1" applyFill="1" applyBorder="1" applyProtection="1">
      <protection hidden="1"/>
    </xf>
    <xf numFmtId="0" fontId="7" fillId="2" borderId="6" xfId="0" applyFont="1" applyFill="1" applyBorder="1" applyAlignment="1" applyProtection="1">
      <alignment horizontal="left"/>
      <protection hidden="1"/>
    </xf>
    <xf numFmtId="0" fontId="7" fillId="2" borderId="9" xfId="0" applyFont="1" applyFill="1" applyBorder="1" applyAlignment="1" applyProtection="1">
      <protection hidden="1"/>
    </xf>
    <xf numFmtId="0" fontId="7" fillId="2" borderId="10" xfId="0" applyFont="1" applyFill="1" applyBorder="1" applyProtection="1">
      <protection hidden="1"/>
    </xf>
    <xf numFmtId="0" fontId="7" fillId="2" borderId="9" xfId="0" applyFont="1" applyFill="1" applyBorder="1" applyAlignment="1" applyProtection="1">
      <alignment horizontal="left"/>
      <protection hidden="1"/>
    </xf>
    <xf numFmtId="0" fontId="7" fillId="2" borderId="11" xfId="0" quotePrefix="1" applyFont="1" applyFill="1" applyBorder="1" applyAlignment="1" applyProtection="1">
      <alignment horizontal="left"/>
      <protection hidden="1"/>
    </xf>
    <xf numFmtId="1" fontId="7" fillId="2" borderId="9" xfId="0" applyNumberFormat="1" applyFont="1" applyFill="1" applyBorder="1" applyAlignment="1" applyProtection="1">
      <alignment horizontal="left"/>
      <protection hidden="1"/>
    </xf>
    <xf numFmtId="0" fontId="9" fillId="2" borderId="0" xfId="0" applyFont="1" applyFill="1" applyBorder="1" applyProtection="1">
      <protection hidden="1"/>
    </xf>
    <xf numFmtId="0" fontId="13" fillId="2" borderId="0" xfId="0" applyFont="1" applyFill="1" applyBorder="1" applyProtection="1">
      <protection hidden="1"/>
    </xf>
    <xf numFmtId="0" fontId="0" fillId="2" borderId="5" xfId="0" applyFill="1" applyBorder="1" applyProtection="1">
      <protection hidden="1"/>
    </xf>
    <xf numFmtId="0" fontId="6" fillId="2" borderId="0" xfId="0" applyFont="1" applyFill="1" applyBorder="1" applyProtection="1">
      <protection hidden="1"/>
    </xf>
    <xf numFmtId="0" fontId="14" fillId="2" borderId="0" xfId="0" applyFont="1" applyFill="1" applyBorder="1" applyProtection="1">
      <protection hidden="1"/>
    </xf>
    <xf numFmtId="0" fontId="5" fillId="2" borderId="0" xfId="0" applyFont="1" applyFill="1" applyBorder="1" applyProtection="1">
      <protection hidden="1"/>
    </xf>
    <xf numFmtId="0" fontId="16" fillId="2" borderId="0" xfId="0" applyFont="1" applyFill="1" applyBorder="1" applyProtection="1">
      <protection hidden="1"/>
    </xf>
    <xf numFmtId="0" fontId="17" fillId="2" borderId="0" xfId="0" applyFont="1" applyFill="1" applyBorder="1" applyProtection="1">
      <protection hidden="1"/>
    </xf>
    <xf numFmtId="0" fontId="17" fillId="2" borderId="0" xfId="0" applyFont="1" applyFill="1" applyBorder="1" applyAlignment="1" applyProtection="1">
      <alignment horizontal="right"/>
      <protection hidden="1"/>
    </xf>
    <xf numFmtId="2" fontId="2" fillId="2" borderId="0" xfId="0" applyNumberFormat="1" applyFont="1" applyFill="1" applyBorder="1" applyAlignment="1" applyProtection="1">
      <alignment horizontal="center"/>
      <protection hidden="1"/>
    </xf>
    <xf numFmtId="0" fontId="17" fillId="2" borderId="0" xfId="0" applyFont="1" applyFill="1" applyBorder="1" applyAlignment="1" applyProtection="1">
      <alignment horizontal="center"/>
      <protection hidden="1"/>
    </xf>
    <xf numFmtId="0" fontId="17" fillId="2" borderId="5" xfId="0" applyFont="1" applyFill="1" applyBorder="1" applyProtection="1">
      <protection hidden="1"/>
    </xf>
    <xf numFmtId="0" fontId="2" fillId="2" borderId="0" xfId="0" applyFont="1" applyFill="1" applyBorder="1" applyAlignment="1" applyProtection="1">
      <alignment horizontal="left"/>
      <protection hidden="1"/>
    </xf>
    <xf numFmtId="0" fontId="2" fillId="2" borderId="0" xfId="0" applyFont="1" applyFill="1" applyBorder="1" applyAlignment="1" applyProtection="1">
      <alignment horizontal="center"/>
      <protection hidden="1"/>
    </xf>
    <xf numFmtId="0" fontId="17" fillId="2" borderId="0" xfId="0" applyFont="1" applyFill="1" applyBorder="1" applyAlignment="1" applyProtection="1">
      <alignment horizontal="left"/>
      <protection hidden="1"/>
    </xf>
    <xf numFmtId="0" fontId="2" fillId="2" borderId="12" xfId="0" applyFont="1" applyFill="1" applyBorder="1" applyAlignment="1" applyProtection="1">
      <alignment horizontal="left" vertical="center"/>
      <protection locked="0" hidden="1"/>
    </xf>
    <xf numFmtId="0" fontId="6" fillId="2" borderId="4" xfId="0" applyFont="1" applyFill="1" applyBorder="1" applyProtection="1">
      <protection hidden="1"/>
    </xf>
    <xf numFmtId="0" fontId="8" fillId="2" borderId="0" xfId="0" applyFont="1" applyFill="1" applyBorder="1" applyProtection="1">
      <protection hidden="1"/>
    </xf>
    <xf numFmtId="0" fontId="0" fillId="2" borderId="12" xfId="0" applyFill="1" applyBorder="1" applyAlignment="1" applyProtection="1">
      <alignment horizontal="left"/>
      <protection locked="0" hidden="1"/>
    </xf>
    <xf numFmtId="0" fontId="0" fillId="2" borderId="0" xfId="0" applyFill="1" applyBorder="1" applyProtection="1">
      <protection locked="0" hidden="1"/>
    </xf>
    <xf numFmtId="0" fontId="12" fillId="2" borderId="0" xfId="0" applyFont="1" applyFill="1" applyBorder="1" applyProtection="1">
      <protection hidden="1"/>
    </xf>
    <xf numFmtId="2" fontId="18" fillId="2" borderId="0" xfId="0" applyNumberFormat="1" applyFont="1" applyFill="1" applyBorder="1" applyAlignment="1" applyProtection="1">
      <alignment horizontal="center"/>
      <protection hidden="1"/>
    </xf>
    <xf numFmtId="0" fontId="19" fillId="2" borderId="0" xfId="0" applyFont="1" applyFill="1" applyBorder="1" applyProtection="1">
      <protection hidden="1"/>
    </xf>
    <xf numFmtId="2" fontId="17" fillId="2" borderId="0" xfId="0" applyNumberFormat="1" applyFont="1" applyFill="1" applyBorder="1" applyAlignment="1" applyProtection="1">
      <alignment horizontal="left"/>
      <protection hidden="1"/>
    </xf>
    <xf numFmtId="2" fontId="2" fillId="2" borderId="0" xfId="0" applyNumberFormat="1" applyFont="1" applyFill="1" applyBorder="1" applyProtection="1">
      <protection hidden="1"/>
    </xf>
    <xf numFmtId="0" fontId="24" fillId="2" borderId="0" xfId="0" applyFont="1" applyFill="1" applyBorder="1" applyProtection="1">
      <protection hidden="1"/>
    </xf>
    <xf numFmtId="2" fontId="24" fillId="2" borderId="0" xfId="0" applyNumberFormat="1" applyFont="1" applyFill="1" applyBorder="1" applyAlignment="1" applyProtection="1">
      <alignment horizontal="left"/>
      <protection hidden="1"/>
    </xf>
    <xf numFmtId="0" fontId="0" fillId="2" borderId="0" xfId="0" applyFont="1" applyFill="1" applyBorder="1" applyProtection="1">
      <protection hidden="1"/>
    </xf>
    <xf numFmtId="0" fontId="18" fillId="2" borderId="0" xfId="0" applyFont="1" applyFill="1" applyBorder="1" applyAlignment="1" applyProtection="1">
      <alignment horizontal="center"/>
      <protection hidden="1"/>
    </xf>
    <xf numFmtId="0" fontId="22" fillId="2" borderId="0" xfId="0" applyFont="1" applyFill="1" applyBorder="1" applyAlignment="1" applyProtection="1">
      <protection hidden="1"/>
    </xf>
    <xf numFmtId="0" fontId="17" fillId="2" borderId="5" xfId="0" applyFont="1" applyFill="1" applyBorder="1" applyAlignment="1" applyProtection="1">
      <alignment horizontal="center"/>
      <protection hidden="1"/>
    </xf>
    <xf numFmtId="2" fontId="2" fillId="2" borderId="0" xfId="0" applyNumberFormat="1" applyFont="1" applyFill="1" applyBorder="1" applyAlignment="1" applyProtection="1">
      <alignment horizontal="left"/>
      <protection hidden="1"/>
    </xf>
    <xf numFmtId="0" fontId="2" fillId="2" borderId="0" xfId="0" applyFont="1" applyFill="1" applyBorder="1" applyAlignment="1" applyProtection="1">
      <protection hidden="1"/>
    </xf>
    <xf numFmtId="0" fontId="2" fillId="2" borderId="0" xfId="0" applyNumberFormat="1" applyFont="1" applyFill="1" applyBorder="1" applyAlignment="1" applyProtection="1">
      <alignment horizontal="left"/>
      <protection hidden="1"/>
    </xf>
    <xf numFmtId="1" fontId="2" fillId="2" borderId="0" xfId="0" applyNumberFormat="1" applyFont="1" applyFill="1" applyBorder="1" applyAlignment="1" applyProtection="1">
      <alignment horizontal="left"/>
      <protection hidden="1"/>
    </xf>
    <xf numFmtId="0" fontId="1" fillId="2" borderId="0" xfId="0" applyFont="1" applyFill="1" applyBorder="1" applyAlignment="1" applyProtection="1">
      <alignment horizontal="center"/>
      <protection hidden="1"/>
    </xf>
    <xf numFmtId="2" fontId="0" fillId="2" borderId="0" xfId="0" applyNumberFormat="1" applyFont="1" applyFill="1" applyBorder="1" applyAlignment="1" applyProtection="1">
      <protection hidden="1"/>
    </xf>
    <xf numFmtId="0" fontId="0" fillId="2" borderId="0" xfId="0" applyFont="1" applyFill="1" applyBorder="1" applyAlignment="1" applyProtection="1">
      <protection hidden="1"/>
    </xf>
    <xf numFmtId="0" fontId="26" fillId="2" borderId="0" xfId="0" applyFont="1" applyFill="1" applyBorder="1" applyProtection="1">
      <protection hidden="1"/>
    </xf>
    <xf numFmtId="0" fontId="27" fillId="2" borderId="0" xfId="0" applyFont="1" applyFill="1" applyBorder="1" applyProtection="1">
      <protection hidden="1"/>
    </xf>
    <xf numFmtId="0" fontId="27" fillId="2" borderId="0" xfId="0" applyFont="1" applyFill="1" applyBorder="1" applyAlignment="1" applyProtection="1">
      <alignment horizontal="center" vertical="center"/>
      <protection hidden="1"/>
    </xf>
    <xf numFmtId="0" fontId="28" fillId="2" borderId="0" xfId="0" applyFont="1" applyFill="1" applyBorder="1" applyProtection="1">
      <protection hidden="1"/>
    </xf>
    <xf numFmtId="0" fontId="26" fillId="2" borderId="0" xfId="0" applyFont="1" applyFill="1" applyBorder="1" applyAlignment="1" applyProtection="1">
      <protection hidden="1"/>
    </xf>
    <xf numFmtId="0" fontId="29" fillId="2" borderId="0" xfId="0" applyFont="1" applyFill="1" applyBorder="1" applyProtection="1">
      <protection hidden="1"/>
    </xf>
    <xf numFmtId="0" fontId="2" fillId="2" borderId="0" xfId="0" applyFont="1" applyFill="1" applyBorder="1" applyAlignment="1" applyProtection="1">
      <alignment horizontal="center" vertical="center"/>
      <protection hidden="1"/>
    </xf>
    <xf numFmtId="2" fontId="17" fillId="2" borderId="0" xfId="0" applyNumberFormat="1" applyFont="1" applyFill="1" applyBorder="1" applyProtection="1">
      <protection hidden="1"/>
    </xf>
    <xf numFmtId="0" fontId="0" fillId="2" borderId="13" xfId="0" applyFill="1" applyBorder="1" applyProtection="1">
      <protection hidden="1"/>
    </xf>
    <xf numFmtId="0" fontId="0" fillId="2" borderId="11" xfId="0" applyFill="1" applyBorder="1" applyProtection="1">
      <protection hidden="1"/>
    </xf>
    <xf numFmtId="0" fontId="2" fillId="2" borderId="11" xfId="0" applyFont="1" applyFill="1" applyBorder="1" applyProtection="1">
      <protection hidden="1"/>
    </xf>
    <xf numFmtId="0" fontId="2" fillId="2" borderId="14" xfId="0" applyFont="1" applyFill="1" applyBorder="1" applyProtection="1">
      <protection hidden="1"/>
    </xf>
    <xf numFmtId="0" fontId="2" fillId="2" borderId="0" xfId="0" applyFont="1" applyFill="1" applyBorder="1" applyAlignment="1" applyProtection="1">
      <alignment horizontal="center"/>
      <protection locked="0" hidden="1"/>
    </xf>
    <xf numFmtId="0" fontId="32" fillId="2" borderId="0" xfId="2" quotePrefix="1" applyFont="1" applyFill="1" applyBorder="1" applyAlignment="1" applyProtection="1">
      <alignment horizontal="left"/>
      <protection hidden="1"/>
    </xf>
    <xf numFmtId="0" fontId="30" fillId="2" borderId="0" xfId="2" quotePrefix="1" applyFill="1" applyBorder="1" applyAlignment="1" applyProtection="1">
      <alignment horizontal="left"/>
      <protection hidden="1"/>
    </xf>
    <xf numFmtId="0" fontId="0" fillId="2" borderId="0" xfId="0" quotePrefix="1" applyFill="1" applyBorder="1" applyProtection="1">
      <protection hidden="1"/>
    </xf>
    <xf numFmtId="0" fontId="3" fillId="2" borderId="5" xfId="1" applyFill="1" applyBorder="1" applyAlignment="1" applyProtection="1">
      <protection hidden="1"/>
    </xf>
    <xf numFmtId="0" fontId="3" fillId="2" borderId="5" xfId="1" applyFill="1" applyBorder="1" applyAlignment="1" applyProtection="1">
      <alignment horizontal="center"/>
      <protection hidden="1"/>
    </xf>
    <xf numFmtId="0" fontId="12" fillId="2" borderId="1" xfId="1" applyFont="1" applyFill="1" applyBorder="1" applyProtection="1">
      <protection hidden="1"/>
    </xf>
    <xf numFmtId="0" fontId="33" fillId="2" borderId="2" xfId="1" applyFont="1" applyFill="1" applyBorder="1" applyProtection="1">
      <protection hidden="1"/>
    </xf>
    <xf numFmtId="0" fontId="12" fillId="2" borderId="12" xfId="1" applyFont="1" applyFill="1" applyBorder="1" applyAlignment="1" applyProtection="1">
      <alignment horizontal="left"/>
      <protection locked="0" hidden="1"/>
    </xf>
    <xf numFmtId="0" fontId="7" fillId="2" borderId="1" xfId="1" applyFont="1" applyFill="1" applyBorder="1" applyProtection="1">
      <protection hidden="1"/>
    </xf>
    <xf numFmtId="0" fontId="7" fillId="2" borderId="6" xfId="1" applyFont="1" applyFill="1" applyBorder="1" applyAlignment="1" applyProtection="1">
      <protection hidden="1"/>
    </xf>
    <xf numFmtId="0" fontId="7" fillId="2" borderId="9" xfId="1" applyFont="1" applyFill="1" applyBorder="1" applyAlignment="1" applyProtection="1">
      <alignment horizontal="left"/>
      <protection locked="0" hidden="1"/>
    </xf>
    <xf numFmtId="0" fontId="12" fillId="2" borderId="13" xfId="1" applyFont="1" applyFill="1" applyBorder="1" applyProtection="1">
      <protection hidden="1"/>
    </xf>
    <xf numFmtId="0" fontId="12" fillId="2" borderId="11" xfId="1" applyFont="1" applyFill="1" applyBorder="1" applyProtection="1">
      <protection hidden="1"/>
    </xf>
    <xf numFmtId="165" fontId="12" fillId="2" borderId="12" xfId="1" applyNumberFormat="1" applyFont="1" applyFill="1" applyBorder="1" applyAlignment="1" applyProtection="1">
      <alignment horizontal="left"/>
      <protection hidden="1"/>
    </xf>
    <xf numFmtId="0" fontId="7" fillId="2" borderId="13" xfId="1" applyFont="1" applyFill="1" applyBorder="1" applyProtection="1">
      <protection hidden="1"/>
    </xf>
    <xf numFmtId="0" fontId="7" fillId="2" borderId="10" xfId="1" applyFont="1" applyFill="1" applyBorder="1" applyAlignment="1" applyProtection="1">
      <alignment horizontal="left"/>
      <protection locked="0" hidden="1"/>
    </xf>
    <xf numFmtId="0" fontId="7" fillId="2" borderId="11" xfId="1" quotePrefix="1" applyFont="1" applyFill="1" applyBorder="1" applyAlignment="1" applyProtection="1">
      <alignment horizontal="left"/>
      <protection hidden="1"/>
    </xf>
    <xf numFmtId="165" fontId="12" fillId="2" borderId="10" xfId="0" applyNumberFormat="1" applyFont="1" applyFill="1" applyBorder="1" applyAlignment="1" applyProtection="1">
      <alignment horizontal="left"/>
      <protection locked="0" hidden="1"/>
    </xf>
    <xf numFmtId="0" fontId="7" fillId="2" borderId="10" xfId="1" applyFont="1" applyFill="1" applyBorder="1" applyAlignment="1" applyProtection="1">
      <alignment horizontal="left"/>
      <protection hidden="1"/>
    </xf>
    <xf numFmtId="0" fontId="7" fillId="2" borderId="14" xfId="1" applyFont="1" applyFill="1" applyBorder="1" applyAlignment="1" applyProtection="1">
      <alignment horizontal="left"/>
      <protection hidden="1"/>
    </xf>
    <xf numFmtId="0" fontId="0" fillId="2" borderId="14" xfId="0" applyFill="1" applyBorder="1" applyProtection="1">
      <protection hidden="1"/>
    </xf>
    <xf numFmtId="0" fontId="2" fillId="2" borderId="1" xfId="1" applyFont="1" applyFill="1" applyBorder="1" applyProtection="1">
      <protection hidden="1"/>
    </xf>
    <xf numFmtId="0" fontId="2" fillId="2" borderId="2" xfId="1" applyFont="1" applyFill="1" applyBorder="1" applyProtection="1">
      <protection hidden="1"/>
    </xf>
    <xf numFmtId="0" fontId="2" fillId="2" borderId="3" xfId="1" applyFont="1" applyFill="1" applyBorder="1" applyProtection="1">
      <protection hidden="1"/>
    </xf>
    <xf numFmtId="0" fontId="2" fillId="2" borderId="4" xfId="1" applyFont="1" applyFill="1" applyBorder="1" applyProtection="1">
      <protection hidden="1"/>
    </xf>
    <xf numFmtId="0" fontId="2" fillId="2" borderId="0" xfId="1" applyFont="1" applyFill="1" applyBorder="1"/>
    <xf numFmtId="0" fontId="2" fillId="2" borderId="0" xfId="1" applyFont="1" applyFill="1" applyBorder="1" applyProtection="1">
      <protection hidden="1"/>
    </xf>
    <xf numFmtId="0" fontId="2" fillId="2" borderId="5" xfId="1" applyFont="1" applyFill="1" applyBorder="1" applyProtection="1">
      <protection hidden="1"/>
    </xf>
    <xf numFmtId="0" fontId="17" fillId="2" borderId="0" xfId="1" applyFont="1" applyFill="1" applyBorder="1" applyAlignment="1" applyProtection="1">
      <alignment horizontal="center"/>
      <protection locked="0" hidden="1"/>
    </xf>
    <xf numFmtId="0" fontId="17" fillId="2" borderId="0" xfId="1" applyFont="1" applyFill="1" applyBorder="1" applyProtection="1">
      <protection hidden="1"/>
    </xf>
    <xf numFmtId="0" fontId="17" fillId="2" borderId="0" xfId="1" applyFont="1" applyFill="1" applyBorder="1" applyProtection="1">
      <protection locked="0" hidden="1"/>
    </xf>
    <xf numFmtId="0" fontId="12" fillId="2" borderId="6" xfId="1" applyFont="1" applyFill="1" applyBorder="1" applyProtection="1">
      <protection hidden="1"/>
    </xf>
    <xf numFmtId="0" fontId="12" fillId="2" borderId="9" xfId="1" applyFont="1" applyFill="1" applyBorder="1" applyAlignment="1" applyProtection="1">
      <alignment horizontal="left"/>
      <protection hidden="1"/>
    </xf>
    <xf numFmtId="0" fontId="12" fillId="2" borderId="10" xfId="1" applyFont="1" applyFill="1" applyBorder="1" applyProtection="1">
      <protection hidden="1"/>
    </xf>
    <xf numFmtId="165" fontId="12" fillId="2" borderId="9" xfId="1" applyNumberFormat="1" applyFont="1" applyFill="1" applyBorder="1" applyAlignment="1" applyProtection="1">
      <alignment horizontal="left"/>
      <protection hidden="1"/>
    </xf>
    <xf numFmtId="0" fontId="7" fillId="2" borderId="12" xfId="1" applyFont="1" applyFill="1" applyBorder="1" applyAlignment="1" applyProtection="1">
      <alignment horizontal="left"/>
      <protection hidden="1"/>
    </xf>
    <xf numFmtId="0" fontId="13" fillId="2" borderId="0" xfId="1" applyFont="1" applyFill="1" applyBorder="1" applyProtection="1">
      <protection hidden="1"/>
    </xf>
    <xf numFmtId="0" fontId="2" fillId="2" borderId="0" xfId="1" applyFont="1" applyFill="1"/>
    <xf numFmtId="0" fontId="17" fillId="2" borderId="0" xfId="1" quotePrefix="1" applyFont="1" applyFill="1" applyBorder="1" applyAlignment="1" applyProtection="1">
      <alignment horizontal="left"/>
      <protection hidden="1"/>
    </xf>
    <xf numFmtId="0" fontId="17" fillId="2" borderId="0" xfId="1" applyFont="1" applyFill="1" applyBorder="1" applyAlignment="1" applyProtection="1">
      <alignment horizontal="right"/>
      <protection hidden="1"/>
    </xf>
    <xf numFmtId="0" fontId="2" fillId="2" borderId="12" xfId="1" applyFont="1" applyFill="1" applyBorder="1" applyAlignment="1" applyProtection="1">
      <alignment horizontal="center" vertical="center"/>
      <protection locked="0" hidden="1"/>
    </xf>
    <xf numFmtId="0" fontId="2" fillId="2" borderId="10" xfId="1" applyFont="1" applyFill="1" applyBorder="1" applyAlignment="1" applyProtection="1">
      <alignment horizontal="center" vertical="center"/>
      <protection locked="0" hidden="1"/>
    </xf>
    <xf numFmtId="0" fontId="17" fillId="2" borderId="0" xfId="1" applyFont="1" applyFill="1" applyBorder="1" applyAlignment="1" applyProtection="1"/>
    <xf numFmtId="0" fontId="17" fillId="2" borderId="0" xfId="1" applyFont="1" applyFill="1" applyBorder="1" applyProtection="1"/>
    <xf numFmtId="164" fontId="2" fillId="2" borderId="0" xfId="1" applyNumberFormat="1" applyFont="1" applyFill="1" applyBorder="1" applyProtection="1">
      <protection hidden="1"/>
    </xf>
    <xf numFmtId="0" fontId="2" fillId="2" borderId="6" xfId="1" applyFont="1" applyFill="1" applyBorder="1" applyAlignment="1" applyProtection="1">
      <alignment horizontal="center" vertical="center"/>
      <protection locked="0" hidden="1"/>
    </xf>
    <xf numFmtId="0" fontId="2" fillId="2" borderId="0" xfId="1" applyFont="1" applyFill="1" applyBorder="1" applyProtection="1"/>
    <xf numFmtId="166" fontId="2" fillId="2" borderId="0" xfId="1" applyNumberFormat="1" applyFont="1" applyFill="1" applyBorder="1" applyProtection="1">
      <protection hidden="1"/>
    </xf>
    <xf numFmtId="0" fontId="17" fillId="2" borderId="5" xfId="1" applyFont="1" applyFill="1" applyBorder="1" applyAlignment="1" applyProtection="1"/>
    <xf numFmtId="0" fontId="17" fillId="2" borderId="12" xfId="1" applyFont="1" applyFill="1" applyBorder="1" applyAlignment="1" applyProtection="1">
      <alignment horizontal="center" vertical="center"/>
      <protection locked="0" hidden="1"/>
    </xf>
    <xf numFmtId="0" fontId="17" fillId="2" borderId="0" xfId="1" applyFont="1" applyFill="1" applyBorder="1" applyAlignment="1" applyProtection="1">
      <alignment horizontal="left"/>
    </xf>
    <xf numFmtId="2" fontId="2" fillId="2" borderId="0" xfId="1" applyNumberFormat="1" applyFont="1" applyFill="1" applyBorder="1" applyProtection="1">
      <protection hidden="1"/>
    </xf>
    <xf numFmtId="164" fontId="2" fillId="2" borderId="0" xfId="1" applyNumberFormat="1" applyFont="1" applyFill="1" applyBorder="1" applyAlignment="1" applyProtection="1">
      <alignment horizontal="right" vertical="center"/>
      <protection locked="0" hidden="1"/>
    </xf>
    <xf numFmtId="0" fontId="2" fillId="2" borderId="0" xfId="1" applyFont="1" applyFill="1" applyBorder="1" applyAlignment="1" applyProtection="1">
      <alignment horizontal="right" vertical="center"/>
      <protection locked="0" hidden="1"/>
    </xf>
    <xf numFmtId="0" fontId="2" fillId="2" borderId="0" xfId="1" applyFont="1" applyFill="1" applyBorder="1" applyAlignment="1" applyProtection="1"/>
    <xf numFmtId="0" fontId="2" fillId="2" borderId="0" xfId="1" applyFont="1" applyFill="1" applyBorder="1" applyAlignment="1" applyProtection="1">
      <alignment horizontal="right"/>
      <protection hidden="1"/>
    </xf>
    <xf numFmtId="1" fontId="2" fillId="2" borderId="12" xfId="1" applyNumberFormat="1" applyFont="1" applyFill="1" applyBorder="1" applyAlignment="1" applyProtection="1">
      <alignment horizontal="center" vertical="center"/>
      <protection locked="0" hidden="1"/>
    </xf>
    <xf numFmtId="0" fontId="2" fillId="0" borderId="0" xfId="1" applyFont="1"/>
    <xf numFmtId="0" fontId="2" fillId="2" borderId="6" xfId="1" applyFont="1" applyFill="1" applyBorder="1"/>
    <xf numFmtId="0" fontId="2" fillId="2" borderId="1" xfId="1" quotePrefix="1" applyFont="1" applyFill="1" applyBorder="1" applyAlignment="1" applyProtection="1">
      <alignment horizontal="left"/>
      <protection hidden="1"/>
    </xf>
    <xf numFmtId="0" fontId="2" fillId="2" borderId="2" xfId="1" applyFont="1" applyFill="1" applyBorder="1" applyAlignment="1" applyProtection="1">
      <alignment horizontal="left"/>
      <protection hidden="1"/>
    </xf>
    <xf numFmtId="0" fontId="2" fillId="0" borderId="3" xfId="1" applyFont="1" applyBorder="1"/>
    <xf numFmtId="0" fontId="2" fillId="2" borderId="3" xfId="1" applyFont="1" applyFill="1" applyBorder="1"/>
    <xf numFmtId="0" fontId="2" fillId="2" borderId="2" xfId="1" applyFont="1" applyFill="1" applyBorder="1"/>
    <xf numFmtId="0" fontId="2" fillId="2" borderId="2" xfId="1" applyFont="1" applyFill="1" applyBorder="1" applyAlignment="1" applyProtection="1">
      <protection hidden="1"/>
    </xf>
    <xf numFmtId="0" fontId="2" fillId="2" borderId="15" xfId="1" applyFont="1" applyFill="1" applyBorder="1"/>
    <xf numFmtId="0" fontId="2" fillId="2" borderId="4" xfId="1" applyFont="1" applyFill="1" applyBorder="1" applyAlignment="1" applyProtection="1">
      <alignment horizontal="left"/>
      <protection hidden="1"/>
    </xf>
    <xf numFmtId="0" fontId="2" fillId="2" borderId="0" xfId="1" applyFont="1" applyFill="1" applyBorder="1" applyAlignment="1" applyProtection="1">
      <alignment horizontal="left"/>
      <protection hidden="1"/>
    </xf>
    <xf numFmtId="0" fontId="2" fillId="2" borderId="5" xfId="1" applyFont="1" applyFill="1" applyBorder="1"/>
    <xf numFmtId="0" fontId="2" fillId="2" borderId="4" xfId="1" applyFont="1" applyFill="1" applyBorder="1"/>
    <xf numFmtId="0" fontId="2" fillId="2" borderId="0" xfId="1" applyFont="1" applyFill="1" applyBorder="1" applyAlignment="1" applyProtection="1">
      <protection hidden="1"/>
    </xf>
    <xf numFmtId="0" fontId="2" fillId="2" borderId="13" xfId="1" applyFont="1" applyFill="1" applyBorder="1" applyProtection="1">
      <protection hidden="1"/>
    </xf>
    <xf numFmtId="0" fontId="2" fillId="2" borderId="14" xfId="1" applyFont="1" applyFill="1" applyBorder="1"/>
    <xf numFmtId="0" fontId="2" fillId="0" borderId="14" xfId="1" applyFont="1" applyBorder="1"/>
    <xf numFmtId="0" fontId="2" fillId="2" borderId="14" xfId="1" applyFont="1" applyFill="1" applyBorder="1" applyProtection="1">
      <protection hidden="1"/>
    </xf>
    <xf numFmtId="0" fontId="2" fillId="2" borderId="13" xfId="1" applyFont="1" applyFill="1" applyBorder="1"/>
    <xf numFmtId="0" fontId="2" fillId="0" borderId="11" xfId="1" applyFont="1" applyBorder="1"/>
    <xf numFmtId="0" fontId="2" fillId="2" borderId="11" xfId="1" applyFont="1" applyFill="1" applyBorder="1" applyAlignment="1" applyProtection="1">
      <protection hidden="1"/>
    </xf>
    <xf numFmtId="2" fontId="2" fillId="2" borderId="1" xfId="1" applyNumberFormat="1" applyFont="1" applyFill="1" applyBorder="1" applyAlignment="1" applyProtection="1">
      <alignment horizontal="center" vertical="center"/>
      <protection hidden="1"/>
    </xf>
    <xf numFmtId="2" fontId="17" fillId="2" borderId="3" xfId="1" applyNumberFormat="1" applyFont="1" applyFill="1" applyBorder="1" applyAlignment="1" applyProtection="1">
      <alignment horizontal="center" vertical="center"/>
      <protection hidden="1"/>
    </xf>
    <xf numFmtId="0" fontId="2" fillId="2" borderId="4" xfId="1" applyFont="1" applyFill="1" applyBorder="1" applyAlignment="1" applyProtection="1">
      <protection hidden="1"/>
    </xf>
    <xf numFmtId="2" fontId="2" fillId="2" borderId="0" xfId="1" applyNumberFormat="1" applyFont="1" applyFill="1" applyBorder="1" applyAlignment="1" applyProtection="1">
      <alignment horizontal="center"/>
      <protection hidden="1"/>
    </xf>
    <xf numFmtId="2" fontId="2" fillId="2" borderId="4" xfId="1" applyNumberFormat="1" applyFont="1" applyFill="1" applyBorder="1" applyAlignment="1" applyProtection="1">
      <alignment horizontal="center" vertical="center"/>
      <protection hidden="1"/>
    </xf>
    <xf numFmtId="2" fontId="17" fillId="2" borderId="5" xfId="1" applyNumberFormat="1" applyFont="1" applyFill="1" applyBorder="1" applyAlignment="1" applyProtection="1">
      <alignment horizontal="center" vertical="center"/>
      <protection hidden="1"/>
    </xf>
    <xf numFmtId="0" fontId="2" fillId="2" borderId="0" xfId="1" applyFont="1" applyFill="1" applyBorder="1" applyAlignment="1" applyProtection="1">
      <alignment horizontal="center"/>
      <protection hidden="1"/>
    </xf>
    <xf numFmtId="0" fontId="2" fillId="2" borderId="5" xfId="1" applyFont="1" applyFill="1" applyBorder="1" applyAlignment="1" applyProtection="1">
      <alignment horizontal="center"/>
      <protection hidden="1"/>
    </xf>
    <xf numFmtId="0" fontId="6" fillId="2" borderId="4" xfId="1" applyFont="1" applyFill="1" applyBorder="1" applyAlignment="1" applyProtection="1">
      <protection hidden="1"/>
    </xf>
    <xf numFmtId="2" fontId="6" fillId="2" borderId="0" xfId="1" applyNumberFormat="1" applyFont="1" applyFill="1" applyBorder="1" applyAlignment="1" applyProtection="1">
      <alignment horizontal="center"/>
      <protection hidden="1"/>
    </xf>
    <xf numFmtId="0" fontId="6" fillId="2" borderId="5" xfId="1" applyFont="1" applyFill="1" applyBorder="1"/>
    <xf numFmtId="2" fontId="6" fillId="2" borderId="4" xfId="1" applyNumberFormat="1" applyFont="1" applyFill="1" applyBorder="1" applyAlignment="1" applyProtection="1">
      <alignment horizontal="center" vertical="center"/>
      <protection hidden="1"/>
    </xf>
    <xf numFmtId="2" fontId="4" fillId="2" borderId="5" xfId="1" applyNumberFormat="1" applyFont="1" applyFill="1" applyBorder="1" applyAlignment="1" applyProtection="1">
      <alignment horizontal="center" vertical="center"/>
      <protection hidden="1"/>
    </xf>
    <xf numFmtId="0" fontId="6" fillId="2" borderId="0" xfId="1" applyFont="1" applyFill="1" applyBorder="1"/>
    <xf numFmtId="0" fontId="6" fillId="2" borderId="0" xfId="1" applyFont="1" applyFill="1" applyBorder="1" applyAlignment="1" applyProtection="1">
      <alignment horizontal="center"/>
      <protection hidden="1"/>
    </xf>
    <xf numFmtId="0" fontId="2" fillId="2" borderId="11" xfId="1" applyFont="1" applyFill="1" applyBorder="1"/>
    <xf numFmtId="0" fontId="3" fillId="0" borderId="16" xfId="1" applyBorder="1" applyProtection="1">
      <protection hidden="1"/>
    </xf>
    <xf numFmtId="0" fontId="3" fillId="0" borderId="17" xfId="1" applyBorder="1" applyProtection="1">
      <protection hidden="1"/>
    </xf>
    <xf numFmtId="0" fontId="3" fillId="0" borderId="18" xfId="1" applyBorder="1" applyProtection="1">
      <protection hidden="1"/>
    </xf>
    <xf numFmtId="0" fontId="39" fillId="0" borderId="16" xfId="1" applyFont="1" applyBorder="1" applyProtection="1">
      <protection hidden="1"/>
    </xf>
    <xf numFmtId="0" fontId="39" fillId="0" borderId="18" xfId="1" applyFont="1" applyBorder="1" applyProtection="1">
      <protection hidden="1"/>
    </xf>
    <xf numFmtId="0" fontId="3" fillId="0" borderId="0" xfId="1" applyProtection="1">
      <protection hidden="1"/>
    </xf>
    <xf numFmtId="0" fontId="3" fillId="0" borderId="0" xfId="1" applyFont="1" applyProtection="1">
      <protection hidden="1"/>
    </xf>
    <xf numFmtId="0" fontId="3" fillId="3" borderId="0" xfId="1" applyFill="1" applyProtection="1">
      <protection hidden="1"/>
    </xf>
    <xf numFmtId="164" fontId="3" fillId="4" borderId="0" xfId="1" applyNumberFormat="1" applyFill="1" applyProtection="1">
      <protection hidden="1"/>
    </xf>
    <xf numFmtId="166" fontId="3" fillId="4" borderId="0" xfId="1" applyNumberFormat="1" applyFill="1" applyProtection="1">
      <protection hidden="1"/>
    </xf>
    <xf numFmtId="2" fontId="3" fillId="4" borderId="0" xfId="1" applyNumberFormat="1" applyFill="1" applyProtection="1">
      <protection hidden="1"/>
    </xf>
    <xf numFmtId="164" fontId="3" fillId="3" borderId="0" xfId="1" applyNumberFormat="1" applyFill="1" applyProtection="1">
      <protection hidden="1"/>
    </xf>
    <xf numFmtId="1" fontId="3" fillId="3" borderId="0" xfId="1" applyNumberFormat="1" applyFill="1" applyProtection="1">
      <protection hidden="1"/>
    </xf>
    <xf numFmtId="0" fontId="3" fillId="4" borderId="0" xfId="1" applyFill="1" applyProtection="1">
      <protection hidden="1"/>
    </xf>
    <xf numFmtId="0" fontId="42" fillId="0" borderId="0" xfId="1" applyFont="1" applyProtection="1">
      <protection hidden="1"/>
    </xf>
    <xf numFmtId="0" fontId="39" fillId="0" borderId="1" xfId="1" applyFont="1" applyBorder="1" applyProtection="1">
      <protection hidden="1"/>
    </xf>
    <xf numFmtId="0" fontId="39" fillId="0" borderId="2" xfId="1" applyFont="1" applyBorder="1" applyProtection="1">
      <protection hidden="1"/>
    </xf>
    <xf numFmtId="0" fontId="39" fillId="0" borderId="3" xfId="1" applyFont="1" applyBorder="1" applyProtection="1">
      <protection hidden="1"/>
    </xf>
    <xf numFmtId="0" fontId="43" fillId="0" borderId="6" xfId="1" applyFont="1" applyBorder="1" applyProtection="1">
      <protection hidden="1"/>
    </xf>
    <xf numFmtId="0" fontId="39" fillId="0" borderId="6" xfId="1" applyFont="1" applyFill="1" applyBorder="1" applyProtection="1">
      <protection hidden="1"/>
    </xf>
    <xf numFmtId="0" fontId="39" fillId="0" borderId="13" xfId="1" applyFont="1" applyBorder="1" applyProtection="1">
      <protection hidden="1"/>
    </xf>
    <xf numFmtId="0" fontId="39" fillId="0" borderId="11" xfId="1" applyFont="1" applyBorder="1" applyProtection="1">
      <protection hidden="1"/>
    </xf>
    <xf numFmtId="0" fontId="39" fillId="0" borderId="14" xfId="1" applyFont="1" applyBorder="1" applyProtection="1">
      <protection hidden="1"/>
    </xf>
    <xf numFmtId="0" fontId="39" fillId="0" borderId="10" xfId="1" applyFont="1" applyBorder="1" applyProtection="1">
      <protection hidden="1"/>
    </xf>
    <xf numFmtId="0" fontId="39" fillId="0" borderId="10" xfId="1" applyFont="1" applyFill="1" applyBorder="1" applyProtection="1">
      <protection hidden="1"/>
    </xf>
    <xf numFmtId="0" fontId="3" fillId="0" borderId="4" xfId="1" applyBorder="1" applyProtection="1">
      <protection hidden="1"/>
    </xf>
    <xf numFmtId="2" fontId="3" fillId="4" borderId="0" xfId="1" applyNumberFormat="1" applyFill="1" applyBorder="1" applyProtection="1">
      <protection hidden="1"/>
    </xf>
    <xf numFmtId="0" fontId="3" fillId="0" borderId="5" xfId="1" applyBorder="1" applyProtection="1">
      <protection hidden="1"/>
    </xf>
    <xf numFmtId="2" fontId="3" fillId="4" borderId="5" xfId="1" applyNumberFormat="1" applyFill="1" applyBorder="1" applyProtection="1">
      <protection hidden="1"/>
    </xf>
    <xf numFmtId="2" fontId="42" fillId="4" borderId="15" xfId="1" applyNumberFormat="1" applyFont="1" applyFill="1" applyBorder="1" applyProtection="1">
      <protection hidden="1"/>
    </xf>
    <xf numFmtId="0" fontId="3" fillId="0" borderId="15" xfId="1" applyBorder="1" applyProtection="1">
      <protection hidden="1"/>
    </xf>
    <xf numFmtId="0" fontId="3" fillId="4" borderId="15" xfId="1" applyFill="1" applyBorder="1" applyProtection="1">
      <protection hidden="1"/>
    </xf>
    <xf numFmtId="0" fontId="3" fillId="0" borderId="13" xfId="1" applyBorder="1" applyProtection="1">
      <protection hidden="1"/>
    </xf>
    <xf numFmtId="2" fontId="3" fillId="4" borderId="11" xfId="1" applyNumberFormat="1" applyFill="1" applyBorder="1" applyProtection="1">
      <protection hidden="1"/>
    </xf>
    <xf numFmtId="0" fontId="3" fillId="0" borderId="14" xfId="1" applyBorder="1" applyProtection="1">
      <protection hidden="1"/>
    </xf>
    <xf numFmtId="2" fontId="3" fillId="4" borderId="14" xfId="1" applyNumberFormat="1" applyFill="1" applyBorder="1" applyProtection="1">
      <protection hidden="1"/>
    </xf>
    <xf numFmtId="2" fontId="42" fillId="4" borderId="10" xfId="1" applyNumberFormat="1" applyFont="1" applyFill="1" applyBorder="1" applyProtection="1">
      <protection hidden="1"/>
    </xf>
    <xf numFmtId="0" fontId="3" fillId="4" borderId="10" xfId="1" applyFill="1" applyBorder="1" applyProtection="1">
      <protection hidden="1"/>
    </xf>
    <xf numFmtId="0" fontId="45" fillId="0" borderId="9" xfId="1" applyFont="1" applyFill="1" applyBorder="1" applyProtection="1">
      <protection hidden="1"/>
    </xf>
    <xf numFmtId="0" fontId="45" fillId="0" borderId="12" xfId="1" applyFont="1" applyBorder="1" applyProtection="1">
      <protection hidden="1"/>
    </xf>
    <xf numFmtId="0" fontId="45" fillId="0" borderId="0" xfId="1" applyFont="1" applyProtection="1">
      <protection hidden="1"/>
    </xf>
    <xf numFmtId="1" fontId="45" fillId="0" borderId="0" xfId="1" applyNumberFormat="1" applyFont="1" applyProtection="1">
      <protection hidden="1"/>
    </xf>
    <xf numFmtId="164" fontId="45" fillId="0" borderId="0" xfId="1" applyNumberFormat="1" applyFont="1" applyProtection="1">
      <protection hidden="1"/>
    </xf>
    <xf numFmtId="0" fontId="45" fillId="0" borderId="0" xfId="1" applyFont="1" applyBorder="1" applyProtection="1">
      <protection hidden="1"/>
    </xf>
    <xf numFmtId="0" fontId="45" fillId="0" borderId="19" xfId="1" applyFont="1" applyBorder="1" applyProtection="1">
      <protection hidden="1"/>
    </xf>
    <xf numFmtId="0" fontId="45" fillId="0" borderId="20" xfId="1" applyFont="1" applyBorder="1" applyProtection="1">
      <protection hidden="1"/>
    </xf>
    <xf numFmtId="0" fontId="45" fillId="0" borderId="21" xfId="1" applyFont="1" applyBorder="1" applyProtection="1">
      <protection hidden="1"/>
    </xf>
    <xf numFmtId="0" fontId="45" fillId="0" borderId="22" xfId="1" applyFont="1" applyBorder="1" applyProtection="1">
      <protection hidden="1"/>
    </xf>
    <xf numFmtId="0" fontId="45" fillId="0" borderId="23" xfId="1" applyFont="1" applyBorder="1" applyProtection="1">
      <protection hidden="1"/>
    </xf>
    <xf numFmtId="167" fontId="45" fillId="0" borderId="0" xfId="1" applyNumberFormat="1" applyFont="1" applyProtection="1">
      <protection hidden="1"/>
    </xf>
    <xf numFmtId="0" fontId="45" fillId="0" borderId="24" xfId="1" applyFont="1" applyBorder="1" applyProtection="1">
      <protection hidden="1"/>
    </xf>
    <xf numFmtId="0" fontId="45" fillId="0" borderId="25" xfId="1" applyFont="1" applyBorder="1" applyProtection="1">
      <protection hidden="1"/>
    </xf>
    <xf numFmtId="0" fontId="45" fillId="0" borderId="26" xfId="1" applyFont="1" applyBorder="1" applyProtection="1">
      <protection hidden="1"/>
    </xf>
    <xf numFmtId="0" fontId="45" fillId="0" borderId="0" xfId="1" applyFont="1" applyFill="1" applyBorder="1" applyProtection="1">
      <protection hidden="1"/>
    </xf>
    <xf numFmtId="2" fontId="45" fillId="0" borderId="12" xfId="1" applyNumberFormat="1" applyFont="1" applyBorder="1" applyProtection="1">
      <protection hidden="1"/>
    </xf>
    <xf numFmtId="0" fontId="3" fillId="0" borderId="0" xfId="1"/>
    <xf numFmtId="0" fontId="45" fillId="0" borderId="0" xfId="1" applyFont="1"/>
    <xf numFmtId="0" fontId="28" fillId="2" borderId="0" xfId="0" applyFont="1" applyFill="1" applyBorder="1" applyAlignment="1" applyProtection="1">
      <alignment horizontal="center"/>
      <protection hidden="1"/>
    </xf>
    <xf numFmtId="0" fontId="5" fillId="2" borderId="0" xfId="0" applyFont="1" applyFill="1" applyBorder="1" applyAlignment="1" applyProtection="1">
      <alignment horizontal="left"/>
      <protection hidden="1"/>
    </xf>
    <xf numFmtId="0" fontId="15" fillId="2" borderId="0" xfId="0" applyFont="1" applyFill="1" applyBorder="1" applyAlignment="1" applyProtection="1">
      <alignment horizontal="left"/>
      <protection hidden="1"/>
    </xf>
    <xf numFmtId="0" fontId="9" fillId="2" borderId="0" xfId="0" applyFont="1" applyFill="1" applyBorder="1" applyAlignment="1" applyProtection="1">
      <alignment horizontal="left"/>
      <protection hidden="1"/>
    </xf>
    <xf numFmtId="0" fontId="12" fillId="2" borderId="9" xfId="0" applyFont="1" applyFill="1" applyBorder="1" applyAlignment="1" applyProtection="1">
      <alignment horizontal="left"/>
      <protection hidden="1"/>
    </xf>
    <xf numFmtId="14" fontId="7" fillId="2" borderId="7" xfId="0" applyNumberFormat="1" applyFont="1" applyFill="1" applyBorder="1" applyAlignment="1" applyProtection="1">
      <alignment horizontal="left"/>
      <protection hidden="1"/>
    </xf>
    <xf numFmtId="0" fontId="6" fillId="0" borderId="0" xfId="0" applyFont="1"/>
    <xf numFmtId="0" fontId="1" fillId="0" borderId="0" xfId="0" applyFont="1"/>
    <xf numFmtId="0" fontId="1" fillId="2" borderId="0" xfId="0" applyFont="1" applyFill="1" applyBorder="1" applyProtection="1">
      <protection hidden="1"/>
    </xf>
    <xf numFmtId="0" fontId="0" fillId="2" borderId="0" xfId="0" applyFill="1" applyBorder="1" applyAlignment="1" applyProtection="1">
      <protection hidden="1"/>
    </xf>
    <xf numFmtId="0" fontId="2" fillId="2" borderId="5" xfId="0" applyFont="1" applyFill="1" applyBorder="1" applyProtection="1">
      <protection locked="0" hidden="1"/>
    </xf>
    <xf numFmtId="0" fontId="7" fillId="2" borderId="1" xfId="0" applyFont="1" applyFill="1" applyBorder="1" applyAlignment="1" applyProtection="1">
      <alignment horizontal="left"/>
      <protection hidden="1"/>
    </xf>
    <xf numFmtId="0" fontId="7" fillId="2" borderId="3" xfId="0" applyFont="1" applyFill="1" applyBorder="1" applyAlignment="1" applyProtection="1">
      <alignment horizontal="left"/>
      <protection hidden="1"/>
    </xf>
    <xf numFmtId="0" fontId="7" fillId="2" borderId="13" xfId="0" applyFont="1" applyFill="1" applyBorder="1" applyAlignment="1" applyProtection="1">
      <alignment horizontal="left"/>
      <protection hidden="1"/>
    </xf>
    <xf numFmtId="0" fontId="7" fillId="2" borderId="14" xfId="0" applyFont="1" applyFill="1" applyBorder="1" applyAlignment="1" applyProtection="1">
      <alignment horizontal="left"/>
      <protection hidden="1"/>
    </xf>
    <xf numFmtId="0" fontId="7" fillId="2" borderId="10" xfId="0" applyFont="1" applyFill="1" applyBorder="1" applyAlignment="1" applyProtection="1">
      <alignment horizontal="left"/>
      <protection hidden="1"/>
    </xf>
    <xf numFmtId="0" fontId="46" fillId="2" borderId="0" xfId="0" applyFont="1" applyFill="1" applyBorder="1" applyProtection="1">
      <protection hidden="1"/>
    </xf>
    <xf numFmtId="0" fontId="1" fillId="2" borderId="0" xfId="0" applyNumberFormat="1" applyFont="1" applyFill="1" applyBorder="1" applyAlignment="1" applyProtection="1">
      <alignment horizontal="left" vertical="top" wrapText="1"/>
      <protection hidden="1"/>
    </xf>
    <xf numFmtId="0" fontId="1" fillId="2" borderId="0" xfId="0" applyNumberFormat="1" applyFont="1" applyFill="1" applyBorder="1" applyAlignment="1" applyProtection="1">
      <alignment vertical="top" wrapText="1"/>
      <protection hidden="1"/>
    </xf>
    <xf numFmtId="0" fontId="5" fillId="2" borderId="0" xfId="0" applyFont="1" applyFill="1" applyBorder="1" applyAlignment="1" applyProtection="1">
      <alignment horizontal="center"/>
      <protection hidden="1"/>
    </xf>
    <xf numFmtId="0" fontId="0" fillId="2" borderId="0" xfId="0" applyFill="1" applyBorder="1" applyAlignment="1" applyProtection="1">
      <alignment horizontal="left"/>
      <protection hidden="1"/>
    </xf>
    <xf numFmtId="0" fontId="8" fillId="2" borderId="0" xfId="0" applyFont="1" applyFill="1" applyBorder="1" applyAlignment="1" applyProtection="1">
      <alignment horizontal="left"/>
      <protection hidden="1"/>
    </xf>
    <xf numFmtId="0" fontId="8" fillId="2" borderId="0" xfId="0" applyFont="1" applyFill="1" applyBorder="1" applyAlignment="1" applyProtection="1">
      <alignment horizontal="center"/>
      <protection hidden="1"/>
    </xf>
    <xf numFmtId="0" fontId="8" fillId="2" borderId="0" xfId="0" applyFont="1" applyFill="1" applyBorder="1" applyAlignment="1" applyProtection="1">
      <alignment horizontal="left" vertical="top" wrapText="1"/>
      <protection hidden="1"/>
    </xf>
    <xf numFmtId="0" fontId="5" fillId="2" borderId="11" xfId="0" applyFont="1" applyFill="1" applyBorder="1" applyAlignment="1" applyProtection="1">
      <alignment horizontal="left"/>
      <protection hidden="1"/>
    </xf>
    <xf numFmtId="0" fontId="33" fillId="2" borderId="0" xfId="0" applyFont="1" applyFill="1" applyBorder="1" applyAlignment="1" applyProtection="1">
      <alignment horizontal="center"/>
      <protection hidden="1"/>
    </xf>
    <xf numFmtId="2" fontId="5" fillId="2" borderId="0" xfId="0" applyNumberFormat="1" applyFont="1" applyFill="1" applyBorder="1" applyAlignment="1" applyProtection="1">
      <alignment horizontal="center" vertical="center"/>
      <protection hidden="1"/>
    </xf>
    <xf numFmtId="0" fontId="23" fillId="2" borderId="0" xfId="0" applyFont="1" applyFill="1" applyBorder="1" applyAlignment="1" applyProtection="1">
      <alignment vertical="center"/>
      <protection hidden="1"/>
    </xf>
    <xf numFmtId="0" fontId="48" fillId="2" borderId="0" xfId="0" applyFont="1" applyFill="1" applyBorder="1" applyProtection="1">
      <protection hidden="1"/>
    </xf>
    <xf numFmtId="0" fontId="49" fillId="2" borderId="0" xfId="0" applyFont="1" applyFill="1" applyBorder="1" applyAlignment="1" applyProtection="1">
      <alignment vertical="center"/>
      <protection hidden="1"/>
    </xf>
    <xf numFmtId="0" fontId="24" fillId="2" borderId="0" xfId="0" applyFont="1" applyFill="1" applyBorder="1" applyAlignment="1" applyProtection="1">
      <protection hidden="1"/>
    </xf>
    <xf numFmtId="0" fontId="50" fillId="2" borderId="0" xfId="0" applyFont="1" applyFill="1" applyBorder="1" applyAlignment="1" applyProtection="1">
      <alignment vertical="center"/>
      <protection hidden="1"/>
    </xf>
    <xf numFmtId="2" fontId="5" fillId="2" borderId="0" xfId="0" applyNumberFormat="1" applyFont="1" applyFill="1" applyBorder="1" applyAlignment="1" applyProtection="1">
      <alignment horizontal="center"/>
      <protection hidden="1"/>
    </xf>
    <xf numFmtId="0" fontId="0" fillId="2" borderId="0" xfId="0" applyFill="1" applyBorder="1" applyAlignment="1" applyProtection="1">
      <alignment horizontal="right"/>
      <protection hidden="1"/>
    </xf>
    <xf numFmtId="0" fontId="50" fillId="2" borderId="0" xfId="0" applyFont="1" applyFill="1" applyBorder="1" applyAlignment="1" applyProtection="1">
      <alignment horizontal="center" vertical="center"/>
      <protection hidden="1"/>
    </xf>
    <xf numFmtId="0" fontId="24" fillId="2" borderId="0" xfId="0" applyFont="1" applyFill="1" applyBorder="1" applyAlignment="1" applyProtection="1">
      <alignment horizontal="left"/>
      <protection hidden="1"/>
    </xf>
    <xf numFmtId="0" fontId="4" fillId="2" borderId="0" xfId="0" applyFont="1" applyFill="1" applyBorder="1" applyAlignment="1" applyProtection="1">
      <alignment horizontal="left"/>
      <protection hidden="1"/>
    </xf>
    <xf numFmtId="2" fontId="0" fillId="2" borderId="0" xfId="0" applyNumberFormat="1" applyFill="1" applyBorder="1" applyProtection="1">
      <protection hidden="1"/>
    </xf>
    <xf numFmtId="0" fontId="0" fillId="0" borderId="0" xfId="0" applyBorder="1"/>
    <xf numFmtId="0" fontId="47" fillId="0" borderId="0" xfId="0" applyFont="1" applyBorder="1" applyAlignment="1">
      <alignment horizontal="left"/>
    </xf>
    <xf numFmtId="0" fontId="1" fillId="2" borderId="0" xfId="0" applyFont="1" applyFill="1" applyBorder="1"/>
    <xf numFmtId="0" fontId="7" fillId="2" borderId="5" xfId="0" applyFont="1" applyFill="1" applyBorder="1" applyAlignment="1" applyProtection="1">
      <protection hidden="1"/>
    </xf>
    <xf numFmtId="1" fontId="7" fillId="2" borderId="5" xfId="0" applyNumberFormat="1" applyFont="1" applyFill="1" applyBorder="1" applyAlignment="1" applyProtection="1">
      <protection hidden="1"/>
    </xf>
    <xf numFmtId="0" fontId="9" fillId="2" borderId="0" xfId="0" applyFont="1" applyFill="1" applyBorder="1" applyAlignment="1" applyProtection="1">
      <alignment horizontal="center"/>
      <protection hidden="1"/>
    </xf>
    <xf numFmtId="0" fontId="12" fillId="0" borderId="9" xfId="0" applyFont="1" applyBorder="1" applyAlignment="1" applyProtection="1">
      <alignment horizontal="left"/>
    </xf>
    <xf numFmtId="0" fontId="7" fillId="2" borderId="12" xfId="0" applyFont="1" applyFill="1" applyBorder="1" applyAlignment="1" applyProtection="1">
      <alignment horizontal="left"/>
      <protection hidden="1"/>
    </xf>
    <xf numFmtId="0" fontId="17" fillId="2" borderId="11" xfId="0" applyFont="1" applyFill="1" applyBorder="1" applyAlignment="1" applyProtection="1">
      <alignment horizontal="left"/>
      <protection hidden="1"/>
    </xf>
    <xf numFmtId="0" fontId="0" fillId="2" borderId="0" xfId="0" applyFont="1" applyFill="1" applyBorder="1" applyAlignment="1" applyProtection="1">
      <alignment horizontal="left"/>
      <protection hidden="1"/>
    </xf>
    <xf numFmtId="0" fontId="0" fillId="2" borderId="12" xfId="0" applyFill="1" applyBorder="1" applyAlignment="1" applyProtection="1">
      <alignment horizontal="center"/>
      <protection locked="0" hidden="1"/>
    </xf>
    <xf numFmtId="2" fontId="8" fillId="2" borderId="0" xfId="0" applyNumberFormat="1" applyFont="1" applyFill="1" applyBorder="1" applyAlignment="1" applyProtection="1">
      <alignment horizontal="center"/>
      <protection hidden="1"/>
    </xf>
    <xf numFmtId="0" fontId="9" fillId="2" borderId="5" xfId="0" applyFont="1" applyFill="1" applyBorder="1" applyAlignment="1" applyProtection="1">
      <alignment horizontal="center" vertical="center"/>
      <protection locked="0" hidden="1"/>
    </xf>
    <xf numFmtId="0" fontId="6" fillId="2" borderId="5" xfId="0" applyFont="1" applyFill="1" applyBorder="1" applyProtection="1">
      <protection hidden="1"/>
    </xf>
    <xf numFmtId="0" fontId="23" fillId="2" borderId="0" xfId="0" applyFont="1" applyFill="1" applyBorder="1" applyAlignment="1" applyProtection="1">
      <protection hidden="1"/>
    </xf>
    <xf numFmtId="0" fontId="8" fillId="2" borderId="5" xfId="0" applyFont="1" applyFill="1" applyBorder="1" applyAlignment="1" applyProtection="1">
      <protection hidden="1"/>
    </xf>
    <xf numFmtId="0" fontId="17" fillId="2" borderId="5" xfId="0" applyFont="1" applyFill="1" applyBorder="1" applyAlignment="1" applyProtection="1">
      <protection hidden="1"/>
    </xf>
    <xf numFmtId="2" fontId="5" fillId="2" borderId="0" xfId="0" applyNumberFormat="1" applyFont="1" applyFill="1" applyBorder="1" applyAlignment="1" applyProtection="1">
      <alignment horizontal="left"/>
      <protection hidden="1"/>
    </xf>
    <xf numFmtId="0" fontId="0" fillId="0" borderId="0" xfId="0" applyFont="1"/>
    <xf numFmtId="0" fontId="2" fillId="2" borderId="0" xfId="0" applyFont="1" applyFill="1" applyBorder="1" applyAlignment="1" applyProtection="1">
      <alignment horizontal="right"/>
      <protection hidden="1"/>
    </xf>
    <xf numFmtId="166" fontId="17" fillId="2" borderId="0" xfId="0" applyNumberFormat="1" applyFont="1" applyFill="1" applyBorder="1" applyAlignment="1" applyProtection="1">
      <alignment horizontal="center"/>
      <protection hidden="1"/>
    </xf>
    <xf numFmtId="166" fontId="17" fillId="2" borderId="5" xfId="0" applyNumberFormat="1" applyFont="1" applyFill="1" applyBorder="1" applyAlignment="1" applyProtection="1">
      <alignment horizontal="center"/>
      <protection hidden="1"/>
    </xf>
    <xf numFmtId="0" fontId="7" fillId="2" borderId="0" xfId="0" applyFont="1" applyFill="1" applyBorder="1" applyAlignment="1" applyProtection="1">
      <alignment horizontal="center"/>
      <protection hidden="1"/>
    </xf>
    <xf numFmtId="0" fontId="9" fillId="2" borderId="0" xfId="0" applyFont="1" applyFill="1" applyBorder="1" applyAlignment="1" applyProtection="1">
      <alignment horizontal="center" vertical="center"/>
      <protection hidden="1"/>
    </xf>
    <xf numFmtId="0" fontId="2" fillId="6" borderId="1" xfId="0" applyFont="1" applyFill="1" applyBorder="1" applyAlignment="1" applyProtection="1">
      <protection hidden="1"/>
    </xf>
    <xf numFmtId="0" fontId="2" fillId="6" borderId="2" xfId="0" applyFont="1" applyFill="1" applyBorder="1" applyAlignment="1" applyProtection="1">
      <protection hidden="1"/>
    </xf>
    <xf numFmtId="0" fontId="0" fillId="6" borderId="2" xfId="0" applyFont="1" applyFill="1" applyBorder="1" applyProtection="1">
      <protection hidden="1"/>
    </xf>
    <xf numFmtId="0" fontId="2" fillId="6" borderId="2" xfId="0" applyFont="1" applyFill="1" applyBorder="1" applyProtection="1">
      <protection hidden="1"/>
    </xf>
    <xf numFmtId="0" fontId="2" fillId="6" borderId="2" xfId="0" applyFont="1" applyFill="1" applyBorder="1" applyAlignment="1" applyProtection="1">
      <alignment horizontal="center" vertical="center"/>
      <protection hidden="1"/>
    </xf>
    <xf numFmtId="0" fontId="8" fillId="6" borderId="2" xfId="0" applyFont="1" applyFill="1" applyBorder="1" applyAlignment="1" applyProtection="1">
      <protection hidden="1"/>
    </xf>
    <xf numFmtId="0" fontId="8" fillId="6" borderId="3" xfId="0" applyFont="1" applyFill="1" applyBorder="1" applyAlignment="1" applyProtection="1">
      <protection hidden="1"/>
    </xf>
    <xf numFmtId="0" fontId="18" fillId="6" borderId="0" xfId="0" applyFont="1" applyFill="1" applyBorder="1" applyAlignment="1" applyProtection="1">
      <protection hidden="1"/>
    </xf>
    <xf numFmtId="0" fontId="0" fillId="6" borderId="23" xfId="0" applyFill="1" applyBorder="1" applyProtection="1">
      <protection hidden="1"/>
    </xf>
    <xf numFmtId="0" fontId="0" fillId="6" borderId="0" xfId="0" applyFill="1" applyBorder="1" applyAlignment="1" applyProtection="1">
      <alignment horizontal="left"/>
      <protection hidden="1"/>
    </xf>
    <xf numFmtId="0" fontId="0" fillId="6" borderId="0" xfId="0" applyFont="1" applyFill="1" applyBorder="1"/>
    <xf numFmtId="0" fontId="0" fillId="2" borderId="12" xfId="0" applyFont="1" applyFill="1" applyBorder="1" applyAlignment="1" applyProtection="1">
      <alignment horizontal="center" vertical="center"/>
      <protection locked="0" hidden="1"/>
    </xf>
    <xf numFmtId="0" fontId="0" fillId="6" borderId="0" xfId="0" applyFont="1" applyFill="1" applyBorder="1" applyProtection="1">
      <protection hidden="1"/>
    </xf>
    <xf numFmtId="0" fontId="0" fillId="6" borderId="0" xfId="0" applyFont="1" applyFill="1" applyBorder="1" applyAlignment="1" applyProtection="1">
      <alignment horizontal="left"/>
      <protection hidden="1"/>
    </xf>
    <xf numFmtId="0" fontId="17" fillId="6" borderId="0" xfId="0" applyFont="1" applyFill="1" applyBorder="1" applyAlignment="1" applyProtection="1">
      <protection hidden="1"/>
    </xf>
    <xf numFmtId="0" fontId="17" fillId="6" borderId="5" xfId="0" applyFont="1" applyFill="1" applyBorder="1" applyAlignment="1" applyProtection="1">
      <protection hidden="1"/>
    </xf>
    <xf numFmtId="0" fontId="22" fillId="6" borderId="0" xfId="0" applyFont="1" applyFill="1" applyBorder="1" applyAlignment="1" applyProtection="1">
      <protection hidden="1"/>
    </xf>
    <xf numFmtId="0" fontId="2" fillId="6" borderId="0" xfId="0" applyFont="1" applyFill="1" applyBorder="1" applyAlignment="1" applyProtection="1">
      <alignment horizontal="left"/>
      <protection hidden="1"/>
    </xf>
    <xf numFmtId="0" fontId="2" fillId="6" borderId="0" xfId="0" applyFont="1" applyFill="1" applyBorder="1" applyProtection="1">
      <protection hidden="1"/>
    </xf>
    <xf numFmtId="2" fontId="17" fillId="6" borderId="0" xfId="0" applyNumberFormat="1" applyFont="1" applyFill="1" applyBorder="1" applyProtection="1">
      <protection hidden="1"/>
    </xf>
    <xf numFmtId="0" fontId="17" fillId="6" borderId="0" xfId="0" applyFont="1" applyFill="1" applyBorder="1" applyProtection="1">
      <protection hidden="1"/>
    </xf>
    <xf numFmtId="0" fontId="17" fillId="6" borderId="5" xfId="0" applyFont="1" applyFill="1" applyBorder="1" applyProtection="1">
      <protection hidden="1"/>
    </xf>
    <xf numFmtId="0" fontId="18" fillId="6" borderId="23" xfId="0" applyFont="1" applyFill="1" applyBorder="1" applyAlignment="1" applyProtection="1">
      <protection hidden="1"/>
    </xf>
    <xf numFmtId="0" fontId="2" fillId="2" borderId="12" xfId="0" applyFont="1" applyFill="1" applyBorder="1" applyAlignment="1" applyProtection="1">
      <alignment horizontal="center"/>
      <protection locked="0" hidden="1"/>
    </xf>
    <xf numFmtId="0" fontId="2" fillId="6" borderId="0" xfId="0" applyFont="1" applyFill="1" applyBorder="1" applyAlignment="1" applyProtection="1">
      <protection hidden="1"/>
    </xf>
    <xf numFmtId="0" fontId="2" fillId="6" borderId="5" xfId="0" applyFont="1" applyFill="1" applyBorder="1" applyProtection="1">
      <protection hidden="1"/>
    </xf>
    <xf numFmtId="0" fontId="22" fillId="6" borderId="23" xfId="0" applyFont="1" applyFill="1" applyBorder="1" applyAlignment="1" applyProtection="1">
      <protection hidden="1"/>
    </xf>
    <xf numFmtId="0" fontId="17" fillId="6" borderId="23" xfId="0" applyFont="1" applyFill="1" applyBorder="1" applyAlignment="1" applyProtection="1">
      <protection hidden="1"/>
    </xf>
    <xf numFmtId="0" fontId="2" fillId="6" borderId="0" xfId="0" quotePrefix="1" applyFont="1" applyFill="1" applyBorder="1" applyAlignment="1" applyProtection="1">
      <alignment horizontal="left"/>
      <protection hidden="1"/>
    </xf>
    <xf numFmtId="0" fontId="17" fillId="6" borderId="5" xfId="0" applyFont="1" applyFill="1" applyBorder="1" applyAlignment="1" applyProtection="1">
      <alignment horizontal="center"/>
      <protection hidden="1"/>
    </xf>
    <xf numFmtId="0" fontId="2" fillId="6" borderId="23" xfId="0" applyFont="1" applyFill="1" applyBorder="1" applyProtection="1">
      <protection hidden="1"/>
    </xf>
    <xf numFmtId="0" fontId="2" fillId="6" borderId="4" xfId="0" applyFont="1" applyFill="1" applyBorder="1" applyAlignment="1" applyProtection="1">
      <protection hidden="1"/>
    </xf>
    <xf numFmtId="0" fontId="0" fillId="6" borderId="0" xfId="0" applyFill="1" applyBorder="1"/>
    <xf numFmtId="0" fontId="0" fillId="6" borderId="0" xfId="0" applyFill="1" applyBorder="1" applyProtection="1">
      <protection hidden="1"/>
    </xf>
    <xf numFmtId="0" fontId="12" fillId="6" borderId="0" xfId="0" applyFont="1" applyFill="1" applyBorder="1" applyProtection="1">
      <protection hidden="1"/>
    </xf>
    <xf numFmtId="0" fontId="7" fillId="6" borderId="0" xfId="0" applyFont="1" applyFill="1" applyBorder="1" applyProtection="1">
      <protection hidden="1"/>
    </xf>
    <xf numFmtId="0" fontId="47" fillId="6" borderId="0" xfId="0" applyFont="1" applyFill="1" applyBorder="1"/>
    <xf numFmtId="0" fontId="23" fillId="6" borderId="0" xfId="0" applyFont="1" applyFill="1" applyBorder="1" applyAlignment="1" applyProtection="1">
      <protection hidden="1"/>
    </xf>
    <xf numFmtId="0" fontId="2" fillId="6" borderId="5" xfId="0" applyFont="1" applyFill="1" applyBorder="1" applyAlignment="1" applyProtection="1">
      <protection hidden="1"/>
    </xf>
    <xf numFmtId="0" fontId="23" fillId="6" borderId="0" xfId="0" applyFont="1" applyFill="1" applyBorder="1" applyProtection="1">
      <protection hidden="1"/>
    </xf>
    <xf numFmtId="0" fontId="52" fillId="6" borderId="0" xfId="0" applyFont="1" applyFill="1" applyBorder="1"/>
    <xf numFmtId="0" fontId="8" fillId="6" borderId="0" xfId="0" applyFont="1" applyFill="1" applyBorder="1" applyProtection="1">
      <protection hidden="1"/>
    </xf>
    <xf numFmtId="0" fontId="0" fillId="6" borderId="5" xfId="0" applyFill="1" applyBorder="1" applyProtection="1">
      <protection hidden="1"/>
    </xf>
    <xf numFmtId="0" fontId="1" fillId="6" borderId="0" xfId="0" applyFont="1" applyFill="1" applyBorder="1" applyAlignment="1" applyProtection="1">
      <protection hidden="1"/>
    </xf>
    <xf numFmtId="0" fontId="2" fillId="6" borderId="13" xfId="0" applyFont="1" applyFill="1" applyBorder="1" applyAlignment="1" applyProtection="1">
      <protection hidden="1"/>
    </xf>
    <xf numFmtId="0" fontId="2" fillId="6" borderId="25" xfId="0" applyFont="1" applyFill="1" applyBorder="1" applyProtection="1">
      <protection hidden="1"/>
    </xf>
    <xf numFmtId="0" fontId="2" fillId="6" borderId="26" xfId="0" applyFont="1" applyFill="1" applyBorder="1" applyProtection="1">
      <protection hidden="1"/>
    </xf>
    <xf numFmtId="0" fontId="2" fillId="2" borderId="1" xfId="0" applyFont="1" applyFill="1" applyBorder="1" applyProtection="1">
      <protection hidden="1"/>
    </xf>
    <xf numFmtId="0" fontId="2" fillId="2" borderId="2" xfId="0" applyFont="1" applyFill="1" applyBorder="1" applyProtection="1">
      <protection hidden="1"/>
    </xf>
    <xf numFmtId="0" fontId="2" fillId="2" borderId="3" xfId="0" applyFont="1" applyFill="1" applyBorder="1" applyProtection="1">
      <protection hidden="1"/>
    </xf>
    <xf numFmtId="0" fontId="13" fillId="2" borderId="0" xfId="0" applyFont="1" applyFill="1" applyBorder="1" applyAlignment="1" applyProtection="1">
      <alignment horizontal="left"/>
      <protection hidden="1"/>
    </xf>
    <xf numFmtId="0" fontId="55" fillId="2" borderId="0" xfId="0" applyFont="1" applyFill="1" applyBorder="1" applyProtection="1">
      <protection hidden="1"/>
    </xf>
    <xf numFmtId="0" fontId="9" fillId="2" borderId="5" xfId="0" applyFont="1" applyFill="1" applyBorder="1" applyProtection="1">
      <protection hidden="1"/>
    </xf>
    <xf numFmtId="0" fontId="2" fillId="2" borderId="12" xfId="0" applyFont="1" applyFill="1" applyBorder="1" applyAlignment="1" applyProtection="1">
      <alignment horizontal="center" vertical="center"/>
      <protection locked="0" hidden="1"/>
    </xf>
    <xf numFmtId="0" fontId="2" fillId="2" borderId="4" xfId="0" quotePrefix="1" applyFont="1" applyFill="1" applyBorder="1" applyAlignment="1" applyProtection="1">
      <alignment horizontal="left"/>
      <protection hidden="1"/>
    </xf>
    <xf numFmtId="0" fontId="17" fillId="2" borderId="0" xfId="0" quotePrefix="1" applyFont="1" applyFill="1" applyBorder="1" applyAlignment="1" applyProtection="1">
      <alignment horizontal="left"/>
      <protection hidden="1"/>
    </xf>
    <xf numFmtId="0" fontId="6" fillId="2" borderId="0" xfId="0" applyFont="1" applyFill="1" applyBorder="1" applyAlignment="1" applyProtection="1">
      <alignment horizontal="left"/>
      <protection hidden="1"/>
    </xf>
    <xf numFmtId="0" fontId="23" fillId="2" borderId="5" xfId="0" applyFont="1" applyFill="1" applyBorder="1" applyAlignment="1" applyProtection="1">
      <protection hidden="1"/>
    </xf>
    <xf numFmtId="0" fontId="0" fillId="2" borderId="0" xfId="0" applyFont="1" applyFill="1" applyAlignment="1">
      <alignment horizontal="left"/>
    </xf>
    <xf numFmtId="0" fontId="2" fillId="6" borderId="1" xfId="0" applyFont="1" applyFill="1" applyBorder="1" applyProtection="1">
      <protection hidden="1"/>
    </xf>
    <xf numFmtId="0" fontId="2" fillId="6" borderId="2" xfId="0" applyFont="1" applyFill="1" applyBorder="1" applyAlignment="1" applyProtection="1">
      <alignment horizontal="center"/>
      <protection hidden="1"/>
    </xf>
    <xf numFmtId="0" fontId="2" fillId="6" borderId="4" xfId="0" applyFont="1" applyFill="1" applyBorder="1" applyProtection="1">
      <protection hidden="1"/>
    </xf>
    <xf numFmtId="0" fontId="0" fillId="2" borderId="12" xfId="0" applyFont="1" applyFill="1" applyBorder="1" applyAlignment="1" applyProtection="1">
      <alignment horizontal="center"/>
      <protection locked="0" hidden="1"/>
    </xf>
    <xf numFmtId="0" fontId="0" fillId="6" borderId="0" xfId="0" applyFill="1" applyBorder="1" applyAlignment="1">
      <alignment horizontal="left"/>
    </xf>
    <xf numFmtId="0" fontId="0" fillId="6" borderId="0" xfId="0" applyFont="1" applyFill="1" applyBorder="1" applyAlignment="1">
      <alignment horizontal="center"/>
    </xf>
    <xf numFmtId="0" fontId="0" fillId="6" borderId="4" xfId="0" applyFill="1" applyBorder="1"/>
    <xf numFmtId="0" fontId="8" fillId="6" borderId="5" xfId="0" applyFont="1" applyFill="1" applyBorder="1" applyAlignment="1" applyProtection="1">
      <alignment horizontal="center"/>
      <protection hidden="1"/>
    </xf>
    <xf numFmtId="0" fontId="0" fillId="6" borderId="0" xfId="0" quotePrefix="1" applyFill="1" applyBorder="1" applyAlignment="1" applyProtection="1">
      <alignment horizontal="left"/>
      <protection hidden="1"/>
    </xf>
    <xf numFmtId="0" fontId="8" fillId="6" borderId="5" xfId="0" quotePrefix="1" applyFont="1" applyFill="1" applyBorder="1" applyAlignment="1" applyProtection="1">
      <alignment horizontal="center"/>
      <protection hidden="1"/>
    </xf>
    <xf numFmtId="0" fontId="8" fillId="6" borderId="0" xfId="0" applyFont="1" applyFill="1" applyBorder="1" applyAlignment="1"/>
    <xf numFmtId="0" fontId="2" fillId="6" borderId="0" xfId="0" applyFont="1" applyFill="1" applyBorder="1" applyAlignment="1" applyProtection="1">
      <alignment horizontal="left"/>
      <protection locked="0" hidden="1"/>
    </xf>
    <xf numFmtId="0" fontId="23" fillId="6" borderId="0" xfId="0" applyFont="1" applyFill="1" applyBorder="1"/>
    <xf numFmtId="0" fontId="57" fillId="6" borderId="0" xfId="0" applyFont="1" applyFill="1" applyBorder="1" applyProtection="1">
      <protection hidden="1"/>
    </xf>
    <xf numFmtId="0" fontId="8" fillId="6" borderId="0" xfId="0" quotePrefix="1" applyFont="1" applyFill="1" applyBorder="1" applyAlignment="1" applyProtection="1">
      <alignment wrapText="1"/>
      <protection hidden="1"/>
    </xf>
    <xf numFmtId="0" fontId="53" fillId="6" borderId="2" xfId="0" quotePrefix="1" applyFont="1" applyFill="1" applyBorder="1" applyAlignment="1" applyProtection="1">
      <alignment horizontal="right"/>
      <protection hidden="1"/>
    </xf>
    <xf numFmtId="0" fontId="2" fillId="6" borderId="13" xfId="0" applyFont="1" applyFill="1" applyBorder="1" applyProtection="1">
      <protection hidden="1"/>
    </xf>
    <xf numFmtId="0" fontId="2" fillId="6" borderId="11" xfId="0" applyFont="1" applyFill="1" applyBorder="1" applyAlignment="1" applyProtection="1">
      <protection hidden="1"/>
    </xf>
    <xf numFmtId="0" fontId="2" fillId="6" borderId="11" xfId="0" applyFont="1" applyFill="1" applyBorder="1" applyProtection="1">
      <protection hidden="1"/>
    </xf>
    <xf numFmtId="0" fontId="2" fillId="6" borderId="14" xfId="0" applyFont="1" applyFill="1" applyBorder="1" applyProtection="1">
      <protection hidden="1"/>
    </xf>
    <xf numFmtId="0" fontId="2" fillId="2" borderId="13" xfId="0" applyFont="1" applyFill="1" applyBorder="1" applyProtection="1">
      <protection hidden="1"/>
    </xf>
    <xf numFmtId="14" fontId="7" fillId="2" borderId="7" xfId="0" applyNumberFormat="1" applyFont="1" applyFill="1" applyBorder="1" applyAlignment="1" applyProtection="1">
      <alignment horizontal="left"/>
      <protection hidden="1"/>
    </xf>
    <xf numFmtId="0" fontId="5" fillId="2" borderId="0" xfId="0" applyFont="1" applyFill="1" applyBorder="1" applyAlignment="1" applyProtection="1">
      <alignment horizontal="left"/>
      <protection hidden="1"/>
    </xf>
    <xf numFmtId="0" fontId="7" fillId="2" borderId="1" xfId="0" applyFont="1" applyFill="1" applyBorder="1" applyAlignment="1" applyProtection="1">
      <alignment horizontal="left"/>
      <protection hidden="1"/>
    </xf>
    <xf numFmtId="0" fontId="7" fillId="2" borderId="13" xfId="0" applyFont="1" applyFill="1" applyBorder="1" applyAlignment="1" applyProtection="1">
      <alignment horizontal="left"/>
      <protection hidden="1"/>
    </xf>
    <xf numFmtId="0" fontId="1" fillId="6" borderId="0" xfId="0" applyFont="1" applyFill="1" applyBorder="1" applyAlignment="1" applyProtection="1">
      <alignment horizontal="left"/>
      <protection locked="0" hidden="1"/>
    </xf>
    <xf numFmtId="0" fontId="31" fillId="2" borderId="5" xfId="2" applyFont="1" applyFill="1" applyBorder="1" applyAlignment="1" applyProtection="1">
      <alignment horizontal="center"/>
      <protection hidden="1"/>
    </xf>
    <xf numFmtId="0" fontId="7" fillId="2" borderId="13" xfId="0" quotePrefix="1" applyFont="1" applyFill="1" applyBorder="1" applyAlignment="1" applyProtection="1">
      <alignment horizontal="left"/>
      <protection hidden="1"/>
    </xf>
    <xf numFmtId="0" fontId="7" fillId="2" borderId="11" xfId="0" applyFont="1" applyFill="1" applyBorder="1" applyAlignment="1" applyProtection="1">
      <alignment horizontal="left"/>
      <protection hidden="1"/>
    </xf>
    <xf numFmtId="0" fontId="23" fillId="2" borderId="0" xfId="0" applyFont="1" applyFill="1" applyBorder="1" applyProtection="1">
      <protection hidden="1"/>
    </xf>
    <xf numFmtId="0" fontId="0" fillId="2" borderId="12" xfId="0" applyFont="1" applyFill="1" applyBorder="1" applyAlignment="1" applyProtection="1">
      <alignment horizontal="left"/>
      <protection locked="0" hidden="1"/>
    </xf>
    <xf numFmtId="0" fontId="0" fillId="2" borderId="0" xfId="0" quotePrefix="1" applyFont="1" applyFill="1" applyBorder="1" applyAlignment="1" applyProtection="1">
      <alignment horizontal="left"/>
      <protection hidden="1"/>
    </xf>
    <xf numFmtId="0" fontId="8" fillId="2" borderId="0" xfId="0" applyFont="1" applyFill="1" applyBorder="1" applyAlignment="1" applyProtection="1">
      <protection hidden="1"/>
    </xf>
    <xf numFmtId="0" fontId="24" fillId="0" borderId="0" xfId="0" applyFont="1"/>
    <xf numFmtId="0" fontId="24" fillId="2" borderId="0" xfId="0" applyFont="1" applyFill="1"/>
    <xf numFmtId="0" fontId="5" fillId="2" borderId="0" xfId="0" applyFont="1" applyFill="1" applyBorder="1" applyAlignment="1" applyProtection="1">
      <protection hidden="1"/>
    </xf>
    <xf numFmtId="0" fontId="0" fillId="2" borderId="0" xfId="0" applyFont="1" applyFill="1" applyBorder="1" applyAlignment="1" applyProtection="1">
      <alignment horizontal="right"/>
      <protection hidden="1"/>
    </xf>
    <xf numFmtId="0" fontId="1" fillId="2" borderId="0" xfId="0" applyFont="1" applyFill="1" applyBorder="1" applyAlignment="1" applyProtection="1">
      <alignment horizontal="left" vertical="center"/>
      <protection hidden="1"/>
    </xf>
    <xf numFmtId="0" fontId="8" fillId="2" borderId="0" xfId="0" applyFont="1" applyFill="1" applyBorder="1" applyAlignment="1" applyProtection="1">
      <alignment horizontal="center" vertical="center"/>
      <protection hidden="1"/>
    </xf>
    <xf numFmtId="0" fontId="1" fillId="2" borderId="0" xfId="0" applyFont="1" applyFill="1"/>
    <xf numFmtId="2" fontId="0" fillId="2" borderId="0" xfId="0" applyNumberFormat="1" applyFill="1" applyBorder="1" applyAlignment="1" applyProtection="1">
      <alignment horizontal="right"/>
      <protection hidden="1"/>
    </xf>
    <xf numFmtId="2" fontId="0" fillId="2" borderId="0" xfId="0" applyNumberFormat="1" applyFont="1" applyFill="1" applyBorder="1" applyAlignment="1" applyProtection="1">
      <alignment horizontal="left"/>
      <protection hidden="1"/>
    </xf>
    <xf numFmtId="2" fontId="0" fillId="2" borderId="0" xfId="0" applyNumberFormat="1" applyFont="1" applyFill="1" applyBorder="1" applyProtection="1">
      <protection hidden="1"/>
    </xf>
    <xf numFmtId="2" fontId="24" fillId="2" borderId="0" xfId="0" applyNumberFormat="1" applyFont="1" applyFill="1" applyAlignment="1">
      <alignment horizontal="left"/>
    </xf>
    <xf numFmtId="0" fontId="31" fillId="2" borderId="0" xfId="2" quotePrefix="1" applyFont="1" applyFill="1" applyBorder="1" applyAlignment="1" applyProtection="1">
      <alignment horizontal="center"/>
      <protection hidden="1"/>
    </xf>
    <xf numFmtId="0" fontId="17" fillId="2" borderId="0" xfId="0" applyFont="1" applyFill="1" applyBorder="1" applyAlignment="1" applyProtection="1">
      <alignment horizontal="center"/>
      <protection hidden="1"/>
    </xf>
    <xf numFmtId="0" fontId="2" fillId="2" borderId="0" xfId="0" applyFont="1" applyFill="1" applyBorder="1" applyAlignment="1" applyProtection="1">
      <alignment horizontal="left"/>
      <protection hidden="1"/>
    </xf>
    <xf numFmtId="0" fontId="17" fillId="2" borderId="5" xfId="0" applyFont="1" applyFill="1" applyBorder="1" applyAlignment="1" applyProtection="1">
      <alignment horizontal="center"/>
      <protection hidden="1"/>
    </xf>
    <xf numFmtId="0" fontId="31" fillId="2" borderId="0" xfId="2" applyFont="1" applyFill="1" applyBorder="1" applyAlignment="1" applyProtection="1">
      <alignment horizontal="center"/>
      <protection hidden="1"/>
    </xf>
    <xf numFmtId="0" fontId="25" fillId="2" borderId="0" xfId="0" applyFont="1" applyFill="1" applyBorder="1" applyAlignment="1" applyProtection="1">
      <alignment horizontal="left"/>
      <protection hidden="1"/>
    </xf>
    <xf numFmtId="0" fontId="17" fillId="2" borderId="0" xfId="0" applyFont="1" applyFill="1" applyBorder="1" applyAlignment="1" applyProtection="1">
      <protection hidden="1"/>
    </xf>
    <xf numFmtId="0" fontId="5" fillId="2" borderId="0" xfId="0" applyFont="1" applyFill="1" applyBorder="1" applyAlignment="1" applyProtection="1">
      <alignment horizontal="left"/>
      <protection hidden="1"/>
    </xf>
    <xf numFmtId="0" fontId="17" fillId="2" borderId="0" xfId="0" applyFont="1" applyFill="1" applyBorder="1" applyAlignment="1" applyProtection="1">
      <alignment horizontal="left"/>
      <protection hidden="1"/>
    </xf>
    <xf numFmtId="0" fontId="7" fillId="2" borderId="9" xfId="0" applyFont="1" applyFill="1" applyBorder="1" applyAlignment="1" applyProtection="1">
      <alignment horizontal="left"/>
      <protection hidden="1"/>
    </xf>
    <xf numFmtId="0" fontId="17" fillId="2" borderId="5" xfId="0" applyFont="1" applyFill="1" applyBorder="1" applyAlignment="1" applyProtection="1">
      <alignment horizontal="left"/>
      <protection hidden="1"/>
    </xf>
    <xf numFmtId="0" fontId="8" fillId="2" borderId="0" xfId="0" applyFont="1" applyFill="1" applyBorder="1" applyAlignment="1" applyProtection="1">
      <alignment horizontal="left"/>
      <protection hidden="1"/>
    </xf>
    <xf numFmtId="0" fontId="8" fillId="2" borderId="0" xfId="0" applyFont="1" applyFill="1" applyBorder="1" applyAlignment="1" applyProtection="1">
      <alignment horizontal="center"/>
      <protection locked="0" hidden="1"/>
    </xf>
    <xf numFmtId="0" fontId="17" fillId="2" borderId="0" xfId="0" applyFont="1" applyFill="1" applyBorder="1" applyAlignment="1" applyProtection="1">
      <alignment horizontal="left"/>
      <protection hidden="1"/>
    </xf>
    <xf numFmtId="0" fontId="15" fillId="2" borderId="0" xfId="0" applyFont="1" applyFill="1" applyBorder="1" applyAlignment="1" applyProtection="1">
      <alignment horizontal="left"/>
      <protection hidden="1"/>
    </xf>
    <xf numFmtId="0" fontId="9" fillId="2" borderId="0" xfId="0" applyFont="1" applyFill="1" applyBorder="1" applyAlignment="1" applyProtection="1">
      <alignment horizontal="left"/>
      <protection hidden="1"/>
    </xf>
    <xf numFmtId="0" fontId="2" fillId="2" borderId="0" xfId="0" applyFont="1" applyFill="1" applyBorder="1" applyAlignment="1" applyProtection="1">
      <alignment horizontal="left"/>
      <protection hidden="1"/>
    </xf>
    <xf numFmtId="0" fontId="17" fillId="2" borderId="0" xfId="0" applyFont="1" applyFill="1" applyBorder="1" applyAlignment="1" applyProtection="1">
      <alignment horizontal="center"/>
      <protection hidden="1"/>
    </xf>
    <xf numFmtId="0" fontId="31" fillId="2" borderId="0" xfId="2" quotePrefix="1" applyFont="1" applyFill="1" applyBorder="1" applyAlignment="1" applyProtection="1">
      <alignment horizontal="center"/>
      <protection hidden="1"/>
    </xf>
    <xf numFmtId="0" fontId="17" fillId="2" borderId="5" xfId="0" applyFont="1" applyFill="1" applyBorder="1" applyAlignment="1" applyProtection="1">
      <alignment horizontal="center"/>
      <protection hidden="1"/>
    </xf>
    <xf numFmtId="0" fontId="31" fillId="2" borderId="0" xfId="2" applyFont="1" applyFill="1" applyBorder="1" applyAlignment="1" applyProtection="1">
      <alignment horizontal="center"/>
      <protection hidden="1"/>
    </xf>
    <xf numFmtId="0" fontId="7" fillId="2" borderId="9" xfId="0" applyFont="1" applyFill="1" applyBorder="1" applyAlignment="1" applyProtection="1">
      <alignment horizontal="left"/>
      <protection hidden="1"/>
    </xf>
    <xf numFmtId="0" fontId="17" fillId="2" borderId="0" xfId="0" applyFont="1" applyFill="1" applyBorder="1" applyAlignment="1" applyProtection="1">
      <alignment horizontal="center"/>
      <protection hidden="1"/>
    </xf>
    <xf numFmtId="0" fontId="2" fillId="2" borderId="0" xfId="0" applyFont="1" applyFill="1" applyBorder="1" applyAlignment="1" applyProtection="1">
      <alignment horizontal="left"/>
      <protection hidden="1"/>
    </xf>
    <xf numFmtId="0" fontId="17" fillId="2" borderId="0" xfId="0" applyFont="1" applyFill="1" applyBorder="1" applyAlignment="1" applyProtection="1">
      <alignment horizontal="left"/>
      <protection hidden="1"/>
    </xf>
    <xf numFmtId="14" fontId="7" fillId="2" borderId="7" xfId="0" applyNumberFormat="1" applyFont="1" applyFill="1" applyBorder="1" applyAlignment="1" applyProtection="1">
      <alignment horizontal="left"/>
      <protection hidden="1"/>
    </xf>
    <xf numFmtId="0" fontId="7" fillId="2" borderId="8" xfId="0" applyFont="1" applyFill="1" applyBorder="1" applyAlignment="1" applyProtection="1">
      <alignment horizontal="left"/>
      <protection hidden="1"/>
    </xf>
    <xf numFmtId="0" fontId="7" fillId="2" borderId="1" xfId="0" applyFont="1" applyFill="1" applyBorder="1" applyAlignment="1" applyProtection="1">
      <alignment horizontal="left"/>
      <protection hidden="1"/>
    </xf>
    <xf numFmtId="0" fontId="7" fillId="2" borderId="3" xfId="0" applyFont="1" applyFill="1" applyBorder="1" applyAlignment="1" applyProtection="1">
      <alignment horizontal="left"/>
      <protection hidden="1"/>
    </xf>
    <xf numFmtId="0" fontId="7" fillId="2" borderId="13" xfId="0" applyFont="1" applyFill="1" applyBorder="1" applyAlignment="1" applyProtection="1">
      <alignment horizontal="left"/>
      <protection hidden="1"/>
    </xf>
    <xf numFmtId="0" fontId="7" fillId="2" borderId="14" xfId="0" applyFont="1" applyFill="1" applyBorder="1" applyAlignment="1" applyProtection="1">
      <alignment horizontal="left"/>
      <protection hidden="1"/>
    </xf>
    <xf numFmtId="14" fontId="7" fillId="2" borderId="8" xfId="0" applyNumberFormat="1" applyFont="1" applyFill="1" applyBorder="1" applyAlignment="1" applyProtection="1">
      <alignment horizontal="left"/>
      <protection hidden="1"/>
    </xf>
    <xf numFmtId="0" fontId="7" fillId="2" borderId="9" xfId="0" applyFont="1" applyFill="1" applyBorder="1" applyAlignment="1" applyProtection="1">
      <alignment horizontal="left"/>
      <protection hidden="1"/>
    </xf>
    <xf numFmtId="0" fontId="22" fillId="6" borderId="0" xfId="0" applyFont="1" applyFill="1" applyBorder="1" applyAlignment="1" applyProtection="1">
      <alignment horizontal="left"/>
      <protection hidden="1"/>
    </xf>
    <xf numFmtId="0" fontId="17" fillId="2" borderId="5" xfId="0" applyFont="1" applyFill="1" applyBorder="1" applyAlignment="1" applyProtection="1">
      <alignment horizontal="left"/>
      <protection hidden="1"/>
    </xf>
    <xf numFmtId="0" fontId="8" fillId="2" borderId="0" xfId="0" applyFont="1" applyFill="1" applyBorder="1" applyAlignment="1" applyProtection="1">
      <alignment horizontal="left"/>
      <protection hidden="1"/>
    </xf>
    <xf numFmtId="0" fontId="5" fillId="2" borderId="0" xfId="0" quotePrefix="1" applyFont="1" applyFill="1" applyBorder="1" applyAlignment="1" applyProtection="1">
      <alignment horizontal="left"/>
      <protection hidden="1"/>
    </xf>
    <xf numFmtId="0" fontId="15" fillId="2" borderId="5" xfId="0" applyFont="1" applyFill="1" applyBorder="1" applyAlignment="1" applyProtection="1">
      <alignment horizontal="left"/>
      <protection hidden="1"/>
    </xf>
    <xf numFmtId="0" fontId="9" fillId="2" borderId="5" xfId="0" applyFont="1" applyFill="1" applyBorder="1" applyAlignment="1" applyProtection="1">
      <alignment horizontal="left"/>
      <protection hidden="1"/>
    </xf>
    <xf numFmtId="0" fontId="56" fillId="2" borderId="5" xfId="0" applyFont="1" applyFill="1" applyBorder="1" applyProtection="1">
      <protection hidden="1"/>
    </xf>
    <xf numFmtId="0" fontId="1" fillId="0" borderId="0" xfId="0" applyFont="1" applyBorder="1"/>
    <xf numFmtId="1" fontId="2" fillId="2" borderId="5" xfId="0" applyNumberFormat="1" applyFont="1" applyFill="1" applyBorder="1" applyAlignment="1" applyProtection="1">
      <alignment horizontal="left"/>
      <protection hidden="1"/>
    </xf>
    <xf numFmtId="2" fontId="2" fillId="2" borderId="5" xfId="0" applyNumberFormat="1" applyFont="1" applyFill="1" applyBorder="1" applyProtection="1">
      <protection hidden="1"/>
    </xf>
    <xf numFmtId="0" fontId="0" fillId="0" borderId="0" xfId="0" applyFont="1" applyBorder="1"/>
    <xf numFmtId="0" fontId="0" fillId="2" borderId="0" xfId="0" applyFont="1" applyFill="1" applyBorder="1"/>
    <xf numFmtId="0" fontId="0" fillId="0" borderId="0" xfId="0" applyBorder="1" applyAlignment="1">
      <alignment horizontal="left"/>
    </xf>
    <xf numFmtId="0" fontId="0" fillId="2" borderId="0" xfId="0" applyFont="1" applyFill="1" applyBorder="1" applyAlignment="1">
      <alignment horizontal="left"/>
    </xf>
    <xf numFmtId="0" fontId="0" fillId="2" borderId="0" xfId="0" quotePrefix="1" applyFont="1" applyFill="1" applyBorder="1" applyAlignment="1">
      <alignment horizontal="left"/>
    </xf>
    <xf numFmtId="1" fontId="0" fillId="2" borderId="0" xfId="0" applyNumberFormat="1" applyFont="1" applyFill="1" applyBorder="1" applyAlignment="1">
      <alignment horizontal="left"/>
    </xf>
    <xf numFmtId="0" fontId="0" fillId="2" borderId="5" xfId="0" applyFont="1" applyFill="1" applyBorder="1"/>
    <xf numFmtId="0" fontId="1" fillId="0" borderId="0" xfId="0" applyFont="1" applyProtection="1">
      <protection hidden="1"/>
    </xf>
    <xf numFmtId="0" fontId="6" fillId="0" borderId="0" xfId="0" applyFont="1" applyProtection="1">
      <protection hidden="1"/>
    </xf>
    <xf numFmtId="0" fontId="6" fillId="0" borderId="0" xfId="0" applyFont="1" applyFill="1" applyBorder="1" applyProtection="1">
      <protection hidden="1"/>
    </xf>
    <xf numFmtId="0" fontId="6" fillId="0" borderId="0" xfId="0" quotePrefix="1" applyFont="1" applyFill="1" applyBorder="1" applyAlignment="1" applyProtection="1">
      <alignment horizontal="left"/>
      <protection hidden="1"/>
    </xf>
    <xf numFmtId="0" fontId="6" fillId="2" borderId="0" xfId="0" quotePrefix="1" applyFont="1" applyFill="1" applyBorder="1" applyAlignment="1" applyProtection="1">
      <alignment horizontal="left"/>
      <protection hidden="1"/>
    </xf>
    <xf numFmtId="0" fontId="6" fillId="0" borderId="0" xfId="0" applyFont="1" applyBorder="1" applyProtection="1">
      <protection hidden="1"/>
    </xf>
    <xf numFmtId="0" fontId="23" fillId="6" borderId="0" xfId="0" applyFont="1" applyFill="1" applyBorder="1" applyAlignment="1">
      <alignment horizontal="left"/>
    </xf>
    <xf numFmtId="0" fontId="60" fillId="2" borderId="1" xfId="1" applyFont="1" applyFill="1" applyBorder="1" applyAlignment="1" applyProtection="1">
      <protection hidden="1"/>
    </xf>
    <xf numFmtId="0" fontId="60" fillId="2" borderId="4" xfId="1" applyFont="1" applyFill="1" applyBorder="1" applyAlignment="1" applyProtection="1">
      <protection hidden="1"/>
    </xf>
    <xf numFmtId="2" fontId="0" fillId="2" borderId="0" xfId="0" applyNumberFormat="1" applyFill="1" applyBorder="1" applyAlignment="1" applyProtection="1">
      <alignment horizontal="left"/>
      <protection hidden="1"/>
    </xf>
    <xf numFmtId="0" fontId="8" fillId="6" borderId="0" xfId="0" quotePrefix="1" applyFont="1" applyFill="1" applyBorder="1" applyAlignment="1" applyProtection="1">
      <alignment horizontal="left" vertical="top" wrapText="1"/>
      <protection hidden="1"/>
    </xf>
    <xf numFmtId="0" fontId="8" fillId="6" borderId="5" xfId="0" applyFont="1" applyFill="1" applyBorder="1" applyProtection="1">
      <protection hidden="1"/>
    </xf>
    <xf numFmtId="0" fontId="1" fillId="0" borderId="0" xfId="0" applyFont="1" applyBorder="1" applyProtection="1">
      <protection hidden="1"/>
    </xf>
    <xf numFmtId="0" fontId="2" fillId="0" borderId="0" xfId="0" applyFont="1" applyProtection="1">
      <protection hidden="1"/>
    </xf>
    <xf numFmtId="0" fontId="58" fillId="2" borderId="1" xfId="2" applyFont="1" applyFill="1" applyBorder="1" applyAlignment="1" applyProtection="1">
      <alignment horizontal="center" vertical="center"/>
      <protection locked="0" hidden="1"/>
    </xf>
    <xf numFmtId="0" fontId="58" fillId="2" borderId="2" xfId="2" quotePrefix="1" applyFont="1" applyFill="1" applyBorder="1" applyAlignment="1" applyProtection="1">
      <alignment horizontal="center" vertical="center"/>
      <protection locked="0" hidden="1"/>
    </xf>
    <xf numFmtId="0" fontId="58" fillId="2" borderId="3" xfId="2" quotePrefix="1" applyFont="1" applyFill="1" applyBorder="1" applyAlignment="1" applyProtection="1">
      <alignment horizontal="center" vertical="center"/>
      <protection locked="0" hidden="1"/>
    </xf>
    <xf numFmtId="0" fontId="58" fillId="2" borderId="13" xfId="2" quotePrefix="1" applyFont="1" applyFill="1" applyBorder="1" applyAlignment="1" applyProtection="1">
      <alignment horizontal="center" vertical="center"/>
      <protection locked="0" hidden="1"/>
    </xf>
    <xf numFmtId="0" fontId="58" fillId="2" borderId="11" xfId="2" quotePrefix="1" applyFont="1" applyFill="1" applyBorder="1" applyAlignment="1" applyProtection="1">
      <alignment horizontal="center" vertical="center"/>
      <protection locked="0" hidden="1"/>
    </xf>
    <xf numFmtId="0" fontId="58" fillId="2" borderId="14" xfId="2" quotePrefix="1" applyFont="1" applyFill="1" applyBorder="1" applyAlignment="1" applyProtection="1">
      <alignment horizontal="center" vertical="center"/>
      <protection locked="0" hidden="1"/>
    </xf>
    <xf numFmtId="0" fontId="59" fillId="2" borderId="1" xfId="0" applyFont="1" applyFill="1" applyBorder="1" applyAlignment="1" applyProtection="1">
      <alignment horizontal="center" vertical="center" wrapText="1"/>
      <protection hidden="1"/>
    </xf>
    <xf numFmtId="0" fontId="59" fillId="2" borderId="2" xfId="0" applyFont="1" applyFill="1" applyBorder="1" applyAlignment="1" applyProtection="1">
      <alignment horizontal="center" vertical="center" wrapText="1"/>
      <protection hidden="1"/>
    </xf>
    <xf numFmtId="0" fontId="59" fillId="2" borderId="3" xfId="0" applyFont="1" applyFill="1" applyBorder="1" applyAlignment="1" applyProtection="1">
      <alignment horizontal="center" vertical="center" wrapText="1"/>
      <protection hidden="1"/>
    </xf>
    <xf numFmtId="0" fontId="59" fillId="2" borderId="13" xfId="0" applyFont="1" applyFill="1" applyBorder="1" applyAlignment="1" applyProtection="1">
      <alignment horizontal="center" vertical="center" wrapText="1"/>
      <protection hidden="1"/>
    </xf>
    <xf numFmtId="0" fontId="59" fillId="2" borderId="11" xfId="0" applyFont="1" applyFill="1" applyBorder="1" applyAlignment="1" applyProtection="1">
      <alignment horizontal="center" vertical="center" wrapText="1"/>
      <protection hidden="1"/>
    </xf>
    <xf numFmtId="0" fontId="59" fillId="2" borderId="14" xfId="0" applyFont="1" applyFill="1" applyBorder="1" applyAlignment="1" applyProtection="1">
      <alignment horizontal="center" vertical="center" wrapText="1"/>
      <protection hidden="1"/>
    </xf>
    <xf numFmtId="0" fontId="12" fillId="2" borderId="7" xfId="1" applyFont="1" applyFill="1" applyBorder="1" applyAlignment="1" applyProtection="1">
      <alignment horizontal="left"/>
      <protection locked="0" hidden="1"/>
    </xf>
    <xf numFmtId="0" fontId="12" fillId="2" borderId="8" xfId="1" applyFont="1" applyFill="1" applyBorder="1" applyAlignment="1" applyProtection="1">
      <alignment horizontal="left"/>
      <protection locked="0" hidden="1"/>
    </xf>
    <xf numFmtId="0" fontId="12" fillId="2" borderId="9" xfId="1" applyFont="1" applyFill="1" applyBorder="1" applyAlignment="1" applyProtection="1">
      <alignment horizontal="left"/>
      <protection locked="0" hidden="1"/>
    </xf>
    <xf numFmtId="0" fontId="7" fillId="2" borderId="7" xfId="1" applyFont="1" applyFill="1" applyBorder="1" applyAlignment="1" applyProtection="1">
      <alignment horizontal="left"/>
      <protection locked="0" hidden="1"/>
    </xf>
    <xf numFmtId="0" fontId="7" fillId="2" borderId="8" xfId="1" applyFont="1" applyFill="1" applyBorder="1" applyAlignment="1" applyProtection="1">
      <alignment horizontal="left"/>
      <protection locked="0" hidden="1"/>
    </xf>
    <xf numFmtId="0" fontId="58" fillId="2" borderId="1" xfId="2" quotePrefix="1" applyFont="1" applyFill="1" applyBorder="1" applyAlignment="1" applyProtection="1">
      <alignment horizontal="center" vertical="center"/>
      <protection locked="0" hidden="1"/>
    </xf>
    <xf numFmtId="0" fontId="58" fillId="2" borderId="2" xfId="2" applyFont="1" applyFill="1" applyBorder="1" applyAlignment="1" applyProtection="1">
      <alignment horizontal="center" vertical="center"/>
      <protection locked="0" hidden="1"/>
    </xf>
    <xf numFmtId="0" fontId="58" fillId="2" borderId="3" xfId="2" applyFont="1" applyFill="1" applyBorder="1" applyAlignment="1" applyProtection="1">
      <alignment horizontal="center" vertical="center"/>
      <protection locked="0" hidden="1"/>
    </xf>
    <xf numFmtId="0" fontId="58" fillId="2" borderId="13" xfId="2" applyFont="1" applyFill="1" applyBorder="1" applyAlignment="1" applyProtection="1">
      <alignment horizontal="center" vertical="center"/>
      <protection locked="0" hidden="1"/>
    </xf>
    <xf numFmtId="0" fontId="58" fillId="2" borderId="11" xfId="2" applyFont="1" applyFill="1" applyBorder="1" applyAlignment="1" applyProtection="1">
      <alignment horizontal="center" vertical="center"/>
      <protection locked="0" hidden="1"/>
    </xf>
    <xf numFmtId="0" fontId="58" fillId="2" borderId="14" xfId="2" applyFont="1" applyFill="1" applyBorder="1" applyAlignment="1" applyProtection="1">
      <alignment horizontal="center" vertical="center"/>
      <protection locked="0" hidden="1"/>
    </xf>
    <xf numFmtId="0" fontId="59" fillId="2" borderId="1" xfId="0" applyFont="1" applyFill="1" applyBorder="1" applyAlignment="1" applyProtection="1">
      <alignment horizontal="center" vertical="center"/>
      <protection hidden="1"/>
    </xf>
    <xf numFmtId="0" fontId="59" fillId="2" borderId="2" xfId="0" applyFont="1" applyFill="1" applyBorder="1" applyAlignment="1" applyProtection="1">
      <alignment horizontal="center" vertical="center"/>
      <protection hidden="1"/>
    </xf>
    <xf numFmtId="0" fontId="59" fillId="2" borderId="3" xfId="0" applyFont="1" applyFill="1" applyBorder="1" applyAlignment="1" applyProtection="1">
      <alignment horizontal="center" vertical="center"/>
      <protection hidden="1"/>
    </xf>
    <xf numFmtId="0" fontId="59" fillId="2" borderId="13" xfId="0" applyFont="1" applyFill="1" applyBorder="1" applyAlignment="1" applyProtection="1">
      <alignment horizontal="center" vertical="center"/>
      <protection hidden="1"/>
    </xf>
    <xf numFmtId="0" fontId="59" fillId="2" borderId="11" xfId="0" applyFont="1" applyFill="1" applyBorder="1" applyAlignment="1" applyProtection="1">
      <alignment horizontal="center" vertical="center"/>
      <protection hidden="1"/>
    </xf>
    <xf numFmtId="0" fontId="59" fillId="2" borderId="14" xfId="0" applyFont="1" applyFill="1" applyBorder="1" applyAlignment="1" applyProtection="1">
      <alignment horizontal="center" vertical="center"/>
      <protection hidden="1"/>
    </xf>
    <xf numFmtId="0" fontId="58" fillId="0" borderId="1" xfId="2" quotePrefix="1" applyFont="1" applyBorder="1" applyAlignment="1" applyProtection="1">
      <alignment horizontal="center" vertical="center"/>
    </xf>
    <xf numFmtId="0" fontId="58" fillId="0" borderId="2" xfId="2" quotePrefix="1" applyFont="1" applyBorder="1" applyAlignment="1" applyProtection="1">
      <alignment horizontal="center" vertical="center"/>
    </xf>
    <xf numFmtId="0" fontId="58" fillId="0" borderId="3" xfId="2" quotePrefix="1" applyFont="1" applyBorder="1" applyAlignment="1" applyProtection="1">
      <alignment horizontal="center" vertical="center"/>
    </xf>
    <xf numFmtId="0" fontId="58" fillId="0" borderId="13" xfId="2" quotePrefix="1" applyFont="1" applyBorder="1" applyAlignment="1" applyProtection="1">
      <alignment horizontal="center" vertical="center"/>
    </xf>
    <xf numFmtId="0" fontId="58" fillId="0" borderId="11" xfId="2" quotePrefix="1" applyFont="1" applyBorder="1" applyAlignment="1" applyProtection="1">
      <alignment horizontal="center" vertical="center"/>
    </xf>
    <xf numFmtId="0" fontId="58" fillId="0" borderId="14" xfId="2" quotePrefix="1" applyFont="1" applyBorder="1" applyAlignment="1" applyProtection="1">
      <alignment horizontal="center" vertical="center"/>
    </xf>
    <xf numFmtId="0" fontId="12" fillId="2" borderId="7" xfId="1" applyFont="1" applyFill="1" applyBorder="1" applyAlignment="1" applyProtection="1">
      <alignment horizontal="left"/>
      <protection hidden="1"/>
    </xf>
    <xf numFmtId="0" fontId="12" fillId="2" borderId="8" xfId="1" applyFont="1" applyFill="1" applyBorder="1" applyAlignment="1" applyProtection="1">
      <alignment horizontal="left"/>
      <protection hidden="1"/>
    </xf>
    <xf numFmtId="0" fontId="7" fillId="2" borderId="7" xfId="1" applyFont="1" applyFill="1" applyBorder="1" applyAlignment="1" applyProtection="1">
      <alignment horizontal="left"/>
      <protection hidden="1"/>
    </xf>
    <xf numFmtId="0" fontId="7" fillId="2" borderId="8" xfId="1" applyFont="1" applyFill="1" applyBorder="1" applyAlignment="1" applyProtection="1">
      <alignment horizontal="left"/>
      <protection hidden="1"/>
    </xf>
    <xf numFmtId="0" fontId="7" fillId="2" borderId="1" xfId="1" applyFont="1" applyFill="1" applyBorder="1" applyAlignment="1" applyProtection="1">
      <alignment horizontal="left"/>
      <protection hidden="1"/>
    </xf>
    <xf numFmtId="0" fontId="7" fillId="2" borderId="3" xfId="1" applyFont="1" applyFill="1" applyBorder="1" applyAlignment="1" applyProtection="1">
      <alignment horizontal="left"/>
      <protection hidden="1"/>
    </xf>
    <xf numFmtId="0" fontId="7" fillId="2" borderId="9" xfId="1" applyFont="1" applyFill="1" applyBorder="1" applyAlignment="1" applyProtection="1">
      <alignment horizontal="left"/>
      <protection hidden="1"/>
    </xf>
    <xf numFmtId="165" fontId="7" fillId="2" borderId="7" xfId="1" applyNumberFormat="1" applyFont="1" applyFill="1" applyBorder="1" applyAlignment="1" applyProtection="1">
      <alignment horizontal="left"/>
      <protection hidden="1"/>
    </xf>
    <xf numFmtId="165" fontId="7" fillId="2" borderId="8" xfId="1" applyNumberFormat="1" applyFont="1" applyFill="1" applyBorder="1" applyAlignment="1" applyProtection="1">
      <alignment horizontal="left"/>
      <protection hidden="1"/>
    </xf>
    <xf numFmtId="0" fontId="7" fillId="2" borderId="13" xfId="1" applyFont="1" applyFill="1" applyBorder="1" applyAlignment="1" applyProtection="1">
      <alignment horizontal="left"/>
      <protection hidden="1"/>
    </xf>
    <xf numFmtId="0" fontId="7" fillId="2" borderId="14" xfId="1" applyFont="1" applyFill="1" applyBorder="1" applyAlignment="1" applyProtection="1">
      <alignment horizontal="left"/>
      <protection hidden="1"/>
    </xf>
    <xf numFmtId="0" fontId="36" fillId="2" borderId="0" xfId="2" applyFont="1" applyFill="1" applyBorder="1" applyAlignment="1" applyProtection="1">
      <alignment horizontal="center"/>
    </xf>
    <xf numFmtId="0" fontId="2" fillId="2" borderId="1" xfId="1" applyFont="1" applyFill="1" applyBorder="1" applyProtection="1">
      <protection hidden="1"/>
    </xf>
    <xf numFmtId="0" fontId="2" fillId="2" borderId="3" xfId="1" applyFont="1" applyFill="1" applyBorder="1" applyProtection="1">
      <protection hidden="1"/>
    </xf>
    <xf numFmtId="0" fontId="2" fillId="2" borderId="4" xfId="1" applyFont="1" applyFill="1" applyBorder="1" applyProtection="1">
      <protection hidden="1"/>
    </xf>
    <xf numFmtId="0" fontId="2" fillId="2" borderId="5" xfId="1" applyFont="1" applyFill="1" applyBorder="1" applyProtection="1">
      <protection hidden="1"/>
    </xf>
    <xf numFmtId="0" fontId="2" fillId="2" borderId="1" xfId="1" applyFont="1" applyFill="1" applyBorder="1" applyAlignment="1" applyProtection="1">
      <alignment horizontal="center"/>
      <protection hidden="1"/>
    </xf>
    <xf numFmtId="0" fontId="2" fillId="2" borderId="3" xfId="1" applyFont="1" applyFill="1" applyBorder="1" applyAlignment="1" applyProtection="1">
      <alignment horizontal="center"/>
      <protection hidden="1"/>
    </xf>
    <xf numFmtId="2" fontId="2" fillId="2" borderId="2" xfId="1" applyNumberFormat="1" applyFont="1" applyFill="1" applyBorder="1" applyAlignment="1" applyProtection="1">
      <alignment horizontal="center" vertical="center"/>
      <protection hidden="1"/>
    </xf>
    <xf numFmtId="2" fontId="2" fillId="2" borderId="3" xfId="1" applyNumberFormat="1" applyFont="1" applyFill="1" applyBorder="1" applyAlignment="1" applyProtection="1">
      <alignment horizontal="center" vertical="center"/>
      <protection hidden="1"/>
    </xf>
    <xf numFmtId="0" fontId="2" fillId="2" borderId="4" xfId="1" applyFont="1" applyFill="1" applyBorder="1" applyAlignment="1" applyProtection="1">
      <alignment horizontal="center"/>
      <protection hidden="1"/>
    </xf>
    <xf numFmtId="0" fontId="2" fillId="2" borderId="5" xfId="1" applyFont="1" applyFill="1" applyBorder="1" applyAlignment="1" applyProtection="1">
      <alignment horizontal="center"/>
      <protection hidden="1"/>
    </xf>
    <xf numFmtId="2" fontId="2" fillId="2" borderId="0" xfId="1" applyNumberFormat="1" applyFont="1" applyFill="1" applyBorder="1" applyAlignment="1" applyProtection="1">
      <alignment horizontal="center" vertical="center"/>
      <protection hidden="1"/>
    </xf>
    <xf numFmtId="2" fontId="2" fillId="2" borderId="5" xfId="1" applyNumberFormat="1" applyFont="1" applyFill="1" applyBorder="1" applyAlignment="1" applyProtection="1">
      <alignment horizontal="center" vertical="center"/>
      <protection hidden="1"/>
    </xf>
    <xf numFmtId="0" fontId="6" fillId="2" borderId="4" xfId="1" applyFont="1" applyFill="1" applyBorder="1" applyAlignment="1" applyProtection="1">
      <alignment horizontal="center"/>
      <protection hidden="1"/>
    </xf>
    <xf numFmtId="0" fontId="6" fillId="2" borderId="5" xfId="1" applyFont="1" applyFill="1" applyBorder="1" applyAlignment="1" applyProtection="1">
      <alignment horizontal="center"/>
      <protection hidden="1"/>
    </xf>
    <xf numFmtId="2" fontId="6" fillId="2" borderId="0" xfId="1" applyNumberFormat="1" applyFont="1" applyFill="1" applyBorder="1" applyAlignment="1" applyProtection="1">
      <alignment horizontal="center" vertical="center"/>
      <protection hidden="1"/>
    </xf>
    <xf numFmtId="2" fontId="6" fillId="2" borderId="5" xfId="1" applyNumberFormat="1" applyFont="1" applyFill="1" applyBorder="1" applyAlignment="1" applyProtection="1">
      <alignment horizontal="center" vertical="center"/>
      <protection hidden="1"/>
    </xf>
    <xf numFmtId="0" fontId="12" fillId="2" borderId="7" xfId="0" applyFont="1" applyFill="1" applyBorder="1" applyProtection="1">
      <protection hidden="1"/>
    </xf>
    <xf numFmtId="0" fontId="12" fillId="2" borderId="8" xfId="0" applyFont="1" applyFill="1" applyBorder="1" applyProtection="1">
      <protection hidden="1"/>
    </xf>
    <xf numFmtId="0" fontId="12" fillId="2" borderId="9" xfId="0" applyFont="1" applyFill="1" applyBorder="1" applyProtection="1">
      <protection hidden="1"/>
    </xf>
    <xf numFmtId="14" fontId="12" fillId="2" borderId="7" xfId="0" applyNumberFormat="1" applyFont="1" applyFill="1" applyBorder="1" applyAlignment="1" applyProtection="1">
      <alignment horizontal="left"/>
      <protection hidden="1"/>
    </xf>
    <xf numFmtId="0" fontId="12" fillId="2" borderId="9" xfId="0" applyFont="1" applyFill="1" applyBorder="1" applyAlignment="1" applyProtection="1">
      <alignment horizontal="left"/>
      <protection hidden="1"/>
    </xf>
    <xf numFmtId="14" fontId="7" fillId="2" borderId="7" xfId="0" applyNumberFormat="1" applyFont="1" applyFill="1" applyBorder="1" applyAlignment="1" applyProtection="1">
      <alignment horizontal="left"/>
      <protection hidden="1"/>
    </xf>
    <xf numFmtId="0" fontId="7" fillId="2" borderId="8" xfId="0" applyFont="1" applyFill="1" applyBorder="1" applyAlignment="1" applyProtection="1">
      <alignment horizontal="left"/>
      <protection hidden="1"/>
    </xf>
    <xf numFmtId="0" fontId="8" fillId="2" borderId="0" xfId="0" applyFont="1" applyFill="1" applyBorder="1" applyAlignment="1" applyProtection="1">
      <alignment horizontal="center"/>
      <protection locked="0" hidden="1"/>
    </xf>
    <xf numFmtId="0" fontId="9" fillId="2" borderId="0" xfId="0" applyFont="1" applyFill="1" applyBorder="1" applyAlignment="1" applyProtection="1">
      <alignment horizontal="center"/>
      <protection locked="0" hidden="1"/>
    </xf>
    <xf numFmtId="0" fontId="12" fillId="2" borderId="9" xfId="1" applyFont="1" applyFill="1" applyBorder="1" applyAlignment="1" applyProtection="1">
      <alignment horizontal="left"/>
      <protection hidden="1"/>
    </xf>
    <xf numFmtId="0" fontId="12" fillId="2" borderId="7" xfId="0" applyFont="1" applyFill="1" applyBorder="1" applyAlignment="1" applyProtection="1">
      <alignment horizontal="left"/>
      <protection hidden="1"/>
    </xf>
    <xf numFmtId="0" fontId="7" fillId="2" borderId="7" xfId="0" applyFont="1" applyFill="1" applyBorder="1" applyProtection="1">
      <protection hidden="1"/>
    </xf>
    <xf numFmtId="0" fontId="7" fillId="2" borderId="8" xfId="0" applyFont="1" applyFill="1" applyBorder="1" applyProtection="1">
      <protection hidden="1"/>
    </xf>
    <xf numFmtId="0" fontId="2" fillId="2" borderId="7" xfId="0" applyFont="1" applyFill="1" applyBorder="1" applyAlignment="1" applyProtection="1">
      <alignment horizontal="left" vertical="center"/>
      <protection locked="0" hidden="1"/>
    </xf>
    <xf numFmtId="0" fontId="2" fillId="2" borderId="8" xfId="0" applyFont="1" applyFill="1" applyBorder="1" applyAlignment="1" applyProtection="1">
      <alignment horizontal="left" vertical="center"/>
      <protection locked="0" hidden="1"/>
    </xf>
    <xf numFmtId="0" fontId="2" fillId="2" borderId="9" xfId="0" applyFont="1" applyFill="1" applyBorder="1" applyAlignment="1" applyProtection="1">
      <alignment horizontal="left" vertical="center"/>
      <protection locked="0" hidden="1"/>
    </xf>
    <xf numFmtId="0" fontId="17" fillId="2" borderId="0" xfId="0" applyFont="1" applyFill="1" applyBorder="1" applyAlignment="1" applyProtection="1">
      <alignment horizontal="left"/>
      <protection hidden="1"/>
    </xf>
    <xf numFmtId="0" fontId="15" fillId="2" borderId="0" xfId="0" applyFont="1" applyFill="1" applyBorder="1" applyAlignment="1" applyProtection="1">
      <alignment horizontal="left"/>
      <protection hidden="1"/>
    </xf>
    <xf numFmtId="0" fontId="9" fillId="2" borderId="0" xfId="0" applyFont="1" applyFill="1" applyBorder="1" applyAlignment="1" applyProtection="1">
      <alignment horizontal="left"/>
      <protection hidden="1"/>
    </xf>
    <xf numFmtId="0" fontId="2" fillId="2" borderId="0" xfId="0" applyFont="1" applyFill="1" applyBorder="1" applyAlignment="1" applyProtection="1">
      <alignment horizontal="left"/>
      <protection hidden="1"/>
    </xf>
    <xf numFmtId="0" fontId="17" fillId="2" borderId="0" xfId="0" applyFont="1" applyFill="1" applyBorder="1" applyAlignment="1" applyProtection="1">
      <alignment horizontal="center"/>
      <protection hidden="1"/>
    </xf>
    <xf numFmtId="0" fontId="5" fillId="2" borderId="0" xfId="0" applyFont="1" applyFill="1" applyBorder="1" applyAlignment="1" applyProtection="1">
      <alignment horizontal="left"/>
      <protection hidden="1"/>
    </xf>
    <xf numFmtId="0" fontId="20" fillId="2" borderId="0" xfId="0" applyFont="1" applyFill="1" applyBorder="1" applyAlignment="1" applyProtection="1">
      <protection hidden="1"/>
    </xf>
    <xf numFmtId="0" fontId="21" fillId="2" borderId="0" xfId="0" applyFont="1" applyFill="1" applyBorder="1" applyAlignment="1" applyProtection="1">
      <alignment horizontal="center"/>
      <protection hidden="1"/>
    </xf>
    <xf numFmtId="0" fontId="23" fillId="2" borderId="0" xfId="0" applyFont="1" applyFill="1" applyBorder="1" applyAlignment="1" applyProtection="1">
      <alignment horizontal="left"/>
      <protection hidden="1"/>
    </xf>
    <xf numFmtId="0" fontId="31" fillId="2" borderId="0" xfId="2" quotePrefix="1" applyFont="1" applyFill="1" applyBorder="1" applyAlignment="1" applyProtection="1">
      <alignment horizontal="center"/>
      <protection hidden="1"/>
    </xf>
    <xf numFmtId="0" fontId="0" fillId="0" borderId="7"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protection locked="0"/>
    </xf>
    <xf numFmtId="0" fontId="28" fillId="2" borderId="0" xfId="0" applyFont="1" applyFill="1" applyBorder="1" applyAlignment="1" applyProtection="1">
      <alignment horizontal="center"/>
      <protection hidden="1"/>
    </xf>
    <xf numFmtId="0" fontId="18" fillId="2" borderId="0" xfId="0" applyFont="1" applyFill="1" applyBorder="1" applyAlignment="1" applyProtection="1">
      <alignment horizontal="center"/>
      <protection hidden="1"/>
    </xf>
    <xf numFmtId="0" fontId="17" fillId="2" borderId="5" xfId="0" applyFont="1" applyFill="1" applyBorder="1" applyAlignment="1" applyProtection="1">
      <alignment horizontal="center"/>
      <protection hidden="1"/>
    </xf>
    <xf numFmtId="0" fontId="31" fillId="2" borderId="0" xfId="2" applyFont="1" applyFill="1" applyBorder="1" applyAlignment="1" applyProtection="1">
      <alignment horizontal="center"/>
      <protection hidden="1"/>
    </xf>
    <xf numFmtId="0" fontId="25" fillId="2" borderId="0" xfId="0" applyFont="1" applyFill="1" applyBorder="1" applyAlignment="1" applyProtection="1">
      <alignment horizontal="left"/>
      <protection hidden="1"/>
    </xf>
    <xf numFmtId="0" fontId="9" fillId="2" borderId="0" xfId="0" applyFont="1" applyFill="1" applyBorder="1" applyAlignment="1" applyProtection="1">
      <alignment horizontal="center" vertical="center"/>
      <protection locked="0" hidden="1"/>
    </xf>
    <xf numFmtId="0" fontId="17" fillId="2" borderId="0" xfId="0" applyFont="1" applyFill="1" applyBorder="1" applyAlignment="1" applyProtection="1">
      <protection hidden="1"/>
    </xf>
    <xf numFmtId="0" fontId="22" fillId="2" borderId="0" xfId="0" applyFont="1" applyFill="1" applyBorder="1" applyProtection="1">
      <protection hidden="1"/>
    </xf>
    <xf numFmtId="0" fontId="8" fillId="2" borderId="0" xfId="0" applyNumberFormat="1" applyFont="1" applyFill="1" applyBorder="1" applyAlignment="1" applyProtection="1">
      <alignment horizontal="center" vertical="top" wrapText="1"/>
      <protection hidden="1"/>
    </xf>
    <xf numFmtId="0" fontId="0" fillId="2" borderId="7" xfId="0" applyFill="1" applyBorder="1" applyAlignment="1" applyProtection="1">
      <alignment horizontal="left"/>
      <protection locked="0" hidden="1"/>
    </xf>
    <xf numFmtId="0" fontId="0" fillId="2" borderId="8" xfId="0" applyFill="1" applyBorder="1" applyAlignment="1" applyProtection="1">
      <alignment horizontal="left"/>
      <protection locked="0" hidden="1"/>
    </xf>
    <xf numFmtId="0" fontId="0" fillId="2" borderId="9" xfId="0" applyFill="1" applyBorder="1" applyAlignment="1" applyProtection="1">
      <alignment horizontal="left"/>
      <protection locked="0" hidden="1"/>
    </xf>
    <xf numFmtId="0" fontId="0" fillId="2" borderId="7" xfId="0" applyFont="1" applyFill="1" applyBorder="1" applyAlignment="1" applyProtection="1">
      <alignment horizontal="left"/>
      <protection locked="0" hidden="1"/>
    </xf>
    <xf numFmtId="0" fontId="0" fillId="2" borderId="8" xfId="0" applyFont="1" applyFill="1" applyBorder="1" applyAlignment="1" applyProtection="1">
      <alignment horizontal="left"/>
      <protection locked="0" hidden="1"/>
    </xf>
    <xf numFmtId="0" fontId="0" fillId="2" borderId="9" xfId="0" applyFont="1" applyFill="1" applyBorder="1" applyAlignment="1" applyProtection="1">
      <alignment horizontal="left"/>
      <protection locked="0" hidden="1"/>
    </xf>
    <xf numFmtId="0" fontId="7" fillId="2" borderId="7" xfId="0" applyFont="1" applyFill="1" applyBorder="1" applyAlignment="1" applyProtection="1">
      <alignment horizontal="left"/>
      <protection hidden="1"/>
    </xf>
    <xf numFmtId="0" fontId="7" fillId="2" borderId="1" xfId="0" applyFont="1" applyFill="1" applyBorder="1" applyAlignment="1" applyProtection="1">
      <alignment horizontal="left"/>
      <protection hidden="1"/>
    </xf>
    <xf numFmtId="0" fontId="7" fillId="2" borderId="3" xfId="0" applyFont="1" applyFill="1" applyBorder="1" applyAlignment="1" applyProtection="1">
      <alignment horizontal="left"/>
      <protection hidden="1"/>
    </xf>
    <xf numFmtId="0" fontId="12" fillId="2" borderId="8" xfId="0" applyFont="1" applyFill="1" applyBorder="1" applyAlignment="1" applyProtection="1">
      <alignment horizontal="left"/>
      <protection hidden="1"/>
    </xf>
    <xf numFmtId="0" fontId="7" fillId="2" borderId="13" xfId="0" applyFont="1" applyFill="1" applyBorder="1" applyAlignment="1" applyProtection="1">
      <alignment horizontal="left"/>
      <protection hidden="1"/>
    </xf>
    <xf numFmtId="0" fontId="7" fillId="2" borderId="14" xfId="0" applyFont="1" applyFill="1" applyBorder="1" applyAlignment="1" applyProtection="1">
      <alignment horizontal="left"/>
      <protection hidden="1"/>
    </xf>
    <xf numFmtId="14" fontId="7" fillId="2" borderId="8" xfId="0" applyNumberFormat="1" applyFont="1" applyFill="1" applyBorder="1" applyAlignment="1" applyProtection="1">
      <alignment horizontal="left"/>
      <protection hidden="1"/>
    </xf>
    <xf numFmtId="0" fontId="7" fillId="2" borderId="9" xfId="0" applyFont="1" applyFill="1" applyBorder="1" applyAlignment="1" applyProtection="1">
      <alignment horizontal="left"/>
      <protection hidden="1"/>
    </xf>
    <xf numFmtId="14" fontId="12" fillId="2" borderId="8" xfId="0" applyNumberFormat="1" applyFont="1" applyFill="1" applyBorder="1" applyAlignment="1" applyProtection="1">
      <alignment horizontal="left"/>
      <protection hidden="1"/>
    </xf>
    <xf numFmtId="0" fontId="2" fillId="2" borderId="7" xfId="0" applyFont="1" applyFill="1" applyBorder="1" applyAlignment="1" applyProtection="1">
      <alignment horizontal="left"/>
      <protection locked="0" hidden="1"/>
    </xf>
    <xf numFmtId="0" fontId="2" fillId="2" borderId="8" xfId="0" applyFont="1" applyFill="1" applyBorder="1" applyAlignment="1" applyProtection="1">
      <alignment horizontal="left"/>
      <protection locked="0" hidden="1"/>
    </xf>
    <xf numFmtId="0" fontId="2" fillId="2" borderId="9" xfId="0" applyFont="1" applyFill="1" applyBorder="1" applyAlignment="1" applyProtection="1">
      <alignment horizontal="left"/>
      <protection locked="0" hidden="1"/>
    </xf>
    <xf numFmtId="0" fontId="22" fillId="2" borderId="0" xfId="0" applyFont="1" applyFill="1" applyBorder="1" applyAlignment="1" applyProtection="1">
      <alignment horizontal="left"/>
      <protection hidden="1"/>
    </xf>
    <xf numFmtId="0" fontId="5" fillId="5" borderId="1" xfId="0" quotePrefix="1" applyFont="1" applyFill="1" applyBorder="1" applyAlignment="1" applyProtection="1">
      <alignment horizontal="center"/>
      <protection hidden="1"/>
    </xf>
    <xf numFmtId="0" fontId="5" fillId="5" borderId="2" xfId="0" quotePrefix="1" applyFont="1" applyFill="1" applyBorder="1" applyAlignment="1" applyProtection="1">
      <alignment horizontal="center"/>
      <protection hidden="1"/>
    </xf>
    <xf numFmtId="0" fontId="5" fillId="5" borderId="8" xfId="0" quotePrefix="1" applyFont="1" applyFill="1" applyBorder="1" applyAlignment="1" applyProtection="1">
      <alignment horizontal="center"/>
      <protection hidden="1"/>
    </xf>
    <xf numFmtId="0" fontId="5" fillId="5" borderId="9" xfId="0" quotePrefix="1" applyFont="1" applyFill="1" applyBorder="1" applyAlignment="1" applyProtection="1">
      <alignment horizontal="center"/>
      <protection hidden="1"/>
    </xf>
    <xf numFmtId="0" fontId="0" fillId="2" borderId="7" xfId="0" applyFont="1" applyFill="1" applyBorder="1" applyAlignment="1" applyProtection="1">
      <protection locked="0" hidden="1"/>
    </xf>
    <xf numFmtId="0" fontId="0" fillId="2" borderId="8" xfId="0" applyFont="1" applyFill="1" applyBorder="1" applyAlignment="1" applyProtection="1">
      <protection locked="0" hidden="1"/>
    </xf>
    <xf numFmtId="0" fontId="0" fillId="2" borderId="9" xfId="0" applyFont="1" applyFill="1" applyBorder="1" applyAlignment="1" applyProtection="1">
      <protection locked="0" hidden="1"/>
    </xf>
    <xf numFmtId="0" fontId="8" fillId="6" borderId="0" xfId="0" applyFont="1" applyFill="1" applyBorder="1" applyAlignment="1" applyProtection="1">
      <alignment horizontal="left"/>
      <protection hidden="1"/>
    </xf>
    <xf numFmtId="0" fontId="8" fillId="6" borderId="2" xfId="0" applyFont="1" applyFill="1" applyBorder="1" applyAlignment="1" applyProtection="1">
      <alignment horizontal="left" vertical="top" wrapText="1"/>
      <protection hidden="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4" xfId="0" applyBorder="1" applyAlignment="1">
      <alignment horizontal="left" vertical="top" wrapText="1"/>
    </xf>
    <xf numFmtId="0" fontId="22" fillId="6" borderId="0" xfId="0" applyFont="1" applyFill="1" applyBorder="1" applyAlignment="1" applyProtection="1">
      <alignment horizontal="left"/>
      <protection hidden="1"/>
    </xf>
    <xf numFmtId="0" fontId="5" fillId="5" borderId="7" xfId="0" applyFont="1" applyFill="1" applyBorder="1" applyAlignment="1" applyProtection="1">
      <alignment horizontal="center"/>
      <protection hidden="1"/>
    </xf>
    <xf numFmtId="0" fontId="5" fillId="5" borderId="8" xfId="0" applyFont="1" applyFill="1" applyBorder="1" applyAlignment="1" applyProtection="1">
      <alignment horizontal="center"/>
      <protection hidden="1"/>
    </xf>
    <xf numFmtId="0" fontId="5" fillId="5" borderId="9" xfId="0" applyFont="1" applyFill="1" applyBorder="1" applyAlignment="1" applyProtection="1">
      <alignment horizontal="center"/>
      <protection hidden="1"/>
    </xf>
    <xf numFmtId="0" fontId="0" fillId="2" borderId="7" xfId="0" applyFont="1" applyFill="1" applyBorder="1" applyAlignment="1" applyProtection="1">
      <alignment horizontal="center" vertical="center"/>
      <protection locked="0" hidden="1"/>
    </xf>
    <xf numFmtId="0" fontId="0" fillId="2" borderId="9" xfId="0" applyFont="1" applyFill="1" applyBorder="1" applyAlignment="1" applyProtection="1">
      <alignment horizontal="center" vertical="center"/>
      <protection locked="0" hidden="1"/>
    </xf>
    <xf numFmtId="0" fontId="8" fillId="6" borderId="2" xfId="0" applyFont="1" applyFill="1" applyBorder="1" applyAlignment="1" applyProtection="1">
      <alignment horizontal="left" wrapText="1"/>
      <protection hidden="1"/>
    </xf>
    <xf numFmtId="0" fontId="8" fillId="6" borderId="3" xfId="0" applyFont="1" applyFill="1" applyBorder="1" applyAlignment="1" applyProtection="1">
      <alignment horizontal="left" wrapText="1"/>
      <protection hidden="1"/>
    </xf>
    <xf numFmtId="0" fontId="8" fillId="6" borderId="11" xfId="0" applyFont="1" applyFill="1" applyBorder="1" applyAlignment="1" applyProtection="1">
      <alignment horizontal="left" wrapText="1"/>
      <protection hidden="1"/>
    </xf>
    <xf numFmtId="0" fontId="8" fillId="6" borderId="14" xfId="0" applyFont="1" applyFill="1" applyBorder="1" applyAlignment="1" applyProtection="1">
      <alignment horizontal="left" wrapText="1"/>
      <protection hidden="1"/>
    </xf>
    <xf numFmtId="0" fontId="17" fillId="2" borderId="7" xfId="0" applyFont="1" applyFill="1" applyBorder="1" applyAlignment="1" applyProtection="1">
      <alignment horizontal="left" vertical="center"/>
      <protection locked="0" hidden="1"/>
    </xf>
    <xf numFmtId="0" fontId="17" fillId="2" borderId="8" xfId="0" applyFont="1" applyFill="1" applyBorder="1" applyAlignment="1" applyProtection="1">
      <alignment horizontal="left" vertical="center"/>
      <protection locked="0" hidden="1"/>
    </xf>
    <xf numFmtId="0" fontId="17" fillId="2" borderId="9" xfId="0" applyFont="1" applyFill="1" applyBorder="1" applyAlignment="1" applyProtection="1">
      <alignment horizontal="left" vertical="center"/>
      <protection locked="0" hidden="1"/>
    </xf>
    <xf numFmtId="0" fontId="5" fillId="2" borderId="0" xfId="0" quotePrefix="1" applyFont="1" applyFill="1" applyBorder="1" applyAlignment="1" applyProtection="1">
      <alignment horizontal="left"/>
      <protection hidden="1"/>
    </xf>
    <xf numFmtId="0" fontId="5" fillId="2" borderId="0" xfId="0" applyFont="1" applyFill="1" applyBorder="1" applyAlignment="1" applyProtection="1">
      <alignment horizontal="center"/>
      <protection hidden="1"/>
    </xf>
    <xf numFmtId="2" fontId="5" fillId="2" borderId="0" xfId="0" applyNumberFormat="1" applyFont="1" applyFill="1" applyBorder="1" applyAlignment="1" applyProtection="1">
      <alignment horizontal="center"/>
      <protection hidden="1"/>
    </xf>
    <xf numFmtId="0" fontId="8" fillId="2" borderId="0" xfId="0" applyFont="1" applyFill="1" applyBorder="1" applyAlignment="1" applyProtection="1">
      <alignment horizontal="left"/>
      <protection hidden="1"/>
    </xf>
    <xf numFmtId="0" fontId="47" fillId="2" borderId="0" xfId="0" applyFont="1" applyFill="1" applyBorder="1" applyAlignment="1" applyProtection="1">
      <alignment horizontal="left"/>
      <protection hidden="1"/>
    </xf>
    <xf numFmtId="0" fontId="23" fillId="2" borderId="0" xfId="0" applyFont="1" applyFill="1" applyBorder="1" applyAlignment="1" applyProtection="1">
      <alignment horizontal="left" vertical="center"/>
      <protection hidden="1"/>
    </xf>
    <xf numFmtId="0" fontId="7" fillId="2" borderId="2" xfId="0" applyFont="1" applyFill="1" applyBorder="1" applyAlignment="1" applyProtection="1">
      <alignment horizontal="left"/>
      <protection hidden="1"/>
    </xf>
  </cellXfs>
  <cellStyles count="3">
    <cellStyle name="Hyperlink" xfId="2" builtinId="8"/>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jpe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jpe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257176</xdr:colOff>
      <xdr:row>71</xdr:row>
      <xdr:rowOff>104774</xdr:rowOff>
    </xdr:from>
    <xdr:to>
      <xdr:col>15</xdr:col>
      <xdr:colOff>1090576</xdr:colOff>
      <xdr:row>73</xdr:row>
      <xdr:rowOff>155774</xdr:rowOff>
    </xdr:to>
    <xdr:sp macro="" textlink="">
      <xdr:nvSpPr>
        <xdr:cNvPr id="2" name="TextBox 1"/>
        <xdr:cNvSpPr txBox="1"/>
      </xdr:nvSpPr>
      <xdr:spPr>
        <a:xfrm>
          <a:off x="2895601" y="13820774"/>
          <a:ext cx="8034300" cy="432000"/>
        </a:xfrm>
        <a:prstGeom prst="rect">
          <a:avLst/>
        </a:prstGeom>
        <a:solidFill>
          <a:schemeClr val="lt1"/>
        </a:solidFill>
        <a:ln w="9525" cmpd="sng">
          <a:solidFill>
            <a:schemeClr val="lt1">
              <a:shade val="50000"/>
            </a:schemeClr>
          </a:solidFill>
        </a:ln>
        <a:effectLst>
          <a:outerShdw blurRad="50800" dist="50800" dir="5400000" algn="ctr" rotWithShape="0">
            <a:srgbClr val="000000">
              <a:alpha val="8200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a:solidFill>
                <a:schemeClr val="dk1"/>
              </a:solidFill>
              <a:latin typeface="+mn-lt"/>
              <a:ea typeface="+mn-ea"/>
              <a:cs typeface="+mn-cs"/>
            </a:rPr>
            <a:t>The following spread sheets</a:t>
          </a:r>
          <a:r>
            <a:rPr lang="en-GB" sz="1000" baseline="0">
              <a:solidFill>
                <a:schemeClr val="dk1"/>
              </a:solidFill>
              <a:latin typeface="+mn-lt"/>
              <a:ea typeface="+mn-ea"/>
              <a:cs typeface="+mn-cs"/>
            </a:rPr>
            <a:t> produce preliminary values for estimating purposes.  All calculations must be checked, confirmed and approved by a qualified structural engineer.</a:t>
          </a:r>
          <a:endParaRPr lang="en-GB" sz="1000"/>
        </a:p>
      </xdr:txBody>
    </xdr:sp>
    <xdr:clientData/>
  </xdr:twoCellAnchor>
  <xdr:twoCellAnchor editAs="oneCell">
    <xdr:from>
      <xdr:col>41</xdr:col>
      <xdr:colOff>0</xdr:colOff>
      <xdr:row>92</xdr:row>
      <xdr:rowOff>0</xdr:rowOff>
    </xdr:from>
    <xdr:to>
      <xdr:col>53</xdr:col>
      <xdr:colOff>570034</xdr:colOff>
      <xdr:row>101</xdr:row>
      <xdr:rowOff>95250</xdr:rowOff>
    </xdr:to>
    <xdr:pic>
      <xdr:nvPicPr>
        <xdr:cNvPr id="9"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933519" y="17526000"/>
          <a:ext cx="7867650" cy="1809750"/>
        </a:xfrm>
        <a:prstGeom prst="rect">
          <a:avLst/>
        </a:prstGeom>
      </xdr:spPr>
    </xdr:pic>
    <xdr:clientData/>
  </xdr:twoCellAnchor>
  <xdr:twoCellAnchor editAs="oneCell">
    <xdr:from>
      <xdr:col>2</xdr:col>
      <xdr:colOff>21981</xdr:colOff>
      <xdr:row>2</xdr:row>
      <xdr:rowOff>65942</xdr:rowOff>
    </xdr:from>
    <xdr:to>
      <xdr:col>14</xdr:col>
      <xdr:colOff>592015</xdr:colOff>
      <xdr:row>11</xdr:row>
      <xdr:rowOff>161192</xdr:rowOff>
    </xdr:to>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0" y="446942"/>
          <a:ext cx="7867650" cy="1809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209554</xdr:colOff>
      <xdr:row>14</xdr:row>
      <xdr:rowOff>28575</xdr:rowOff>
    </xdr:from>
    <xdr:to>
      <xdr:col>17</xdr:col>
      <xdr:colOff>506751</xdr:colOff>
      <xdr:row>44</xdr:row>
      <xdr:rowOff>38100</xdr:rowOff>
    </xdr:to>
    <xdr:pic>
      <xdr:nvPicPr>
        <xdr:cNvPr id="2"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contrast="20000"/>
        </a:blip>
        <a:srcRect l="17468" t="17639" r="23001" b="4352"/>
        <a:stretch>
          <a:fillRect/>
        </a:stretch>
      </xdr:blipFill>
      <xdr:spPr bwMode="auto">
        <a:xfrm rot="16200000">
          <a:off x="5311153" y="3451851"/>
          <a:ext cx="5753100" cy="4240547"/>
        </a:xfrm>
        <a:prstGeom prst="rect">
          <a:avLst/>
        </a:prstGeom>
        <a:noFill/>
        <a:ln w="1">
          <a:noFill/>
          <a:miter lim="800000"/>
          <a:headEnd/>
          <a:tailEnd type="none" w="med" len="med"/>
        </a:ln>
        <a:effectLst/>
      </xdr:spPr>
    </xdr:pic>
    <xdr:clientData/>
  </xdr:twoCellAnchor>
  <xdr:twoCellAnchor>
    <xdr:from>
      <xdr:col>9</xdr:col>
      <xdr:colOff>200025</xdr:colOff>
      <xdr:row>42</xdr:row>
      <xdr:rowOff>152400</xdr:rowOff>
    </xdr:from>
    <xdr:to>
      <xdr:col>12</xdr:col>
      <xdr:colOff>0</xdr:colOff>
      <xdr:row>43</xdr:row>
      <xdr:rowOff>114300</xdr:rowOff>
    </xdr:to>
    <xdr:sp macro="" textlink="">
      <xdr:nvSpPr>
        <xdr:cNvPr id="3" name="Rectangle 2"/>
        <xdr:cNvSpPr/>
      </xdr:nvSpPr>
      <xdr:spPr>
        <a:xfrm>
          <a:off x="6057900" y="8153400"/>
          <a:ext cx="1838325"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ln>
              <a:noFill/>
            </a:ln>
          </a:endParaRPr>
        </a:p>
      </xdr:txBody>
    </xdr:sp>
    <xdr:clientData/>
  </xdr:twoCellAnchor>
  <xdr:twoCellAnchor>
    <xdr:from>
      <xdr:col>3</xdr:col>
      <xdr:colOff>47625</xdr:colOff>
      <xdr:row>78</xdr:row>
      <xdr:rowOff>190499</xdr:rowOff>
    </xdr:from>
    <xdr:to>
      <xdr:col>17</xdr:col>
      <xdr:colOff>261900</xdr:colOff>
      <xdr:row>81</xdr:row>
      <xdr:rowOff>50999</xdr:rowOff>
    </xdr:to>
    <xdr:sp macro="" textlink="">
      <xdr:nvSpPr>
        <xdr:cNvPr id="4" name="TextBox 3"/>
        <xdr:cNvSpPr txBox="1"/>
      </xdr:nvSpPr>
      <xdr:spPr>
        <a:xfrm>
          <a:off x="1885950" y="15049499"/>
          <a:ext cx="8177175" cy="432000"/>
        </a:xfrm>
        <a:prstGeom prst="rect">
          <a:avLst/>
        </a:prstGeom>
        <a:solidFill>
          <a:schemeClr val="lt1"/>
        </a:solidFill>
        <a:ln w="9525" cmpd="sng">
          <a:solidFill>
            <a:schemeClr val="lt1">
              <a:shade val="50000"/>
            </a:schemeClr>
          </a:solidFill>
        </a:ln>
        <a:effectLst>
          <a:outerShdw blurRad="50800" dist="50800" dir="5400000" algn="ctr" rotWithShape="0">
            <a:srgbClr val="000000">
              <a:alpha val="8200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a:solidFill>
                <a:schemeClr val="dk1"/>
              </a:solidFill>
              <a:latin typeface="+mn-lt"/>
              <a:ea typeface="+mn-ea"/>
              <a:cs typeface="+mn-cs"/>
            </a:rPr>
            <a:t>These spread sheets</a:t>
          </a:r>
          <a:r>
            <a:rPr lang="en-GB" sz="1000" baseline="0">
              <a:solidFill>
                <a:schemeClr val="dk1"/>
              </a:solidFill>
              <a:latin typeface="+mn-lt"/>
              <a:ea typeface="+mn-ea"/>
              <a:cs typeface="+mn-cs"/>
            </a:rPr>
            <a:t> produce preliminary values for estimating purposes.  All calculations must be checked, confirmed and approved by a qualified structural engineer.</a:t>
          </a:r>
          <a:endParaRPr lang="en-GB" sz="1000"/>
        </a:p>
      </xdr:txBody>
    </xdr:sp>
    <xdr:clientData/>
  </xdr:twoCellAnchor>
  <xdr:twoCellAnchor editAs="oneCell">
    <xdr:from>
      <xdr:col>2</xdr:col>
      <xdr:colOff>10583</xdr:colOff>
      <xdr:row>2</xdr:row>
      <xdr:rowOff>63500</xdr:rowOff>
    </xdr:from>
    <xdr:to>
      <xdr:col>18</xdr:col>
      <xdr:colOff>23025</xdr:colOff>
      <xdr:row>9</xdr:row>
      <xdr:rowOff>140270</xdr:rowOff>
    </xdr:to>
    <xdr:pic>
      <xdr:nvPicPr>
        <xdr:cNvPr id="11"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0" y="444500"/>
          <a:ext cx="9833775" cy="14102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295275</xdr:colOff>
      <xdr:row>16</xdr:row>
      <xdr:rowOff>38100</xdr:rowOff>
    </xdr:from>
    <xdr:to>
      <xdr:col>9</xdr:col>
      <xdr:colOff>211283</xdr:colOff>
      <xdr:row>34</xdr:row>
      <xdr:rowOff>161925</xdr:rowOff>
    </xdr:to>
    <xdr:pic>
      <xdr:nvPicPr>
        <xdr:cNvPr id="3" name="Picture 1"/>
        <xdr:cNvPicPr>
          <a:picLocks noChangeAspect="1" noChangeArrowheads="1"/>
        </xdr:cNvPicPr>
      </xdr:nvPicPr>
      <xdr:blipFill>
        <a:blip xmlns:r="http://schemas.openxmlformats.org/officeDocument/2006/relationships" r:embed="rId1" cstate="print"/>
        <a:srcRect l="21611" t="14316" r="36493" b="18088"/>
        <a:stretch>
          <a:fillRect/>
        </a:stretch>
      </xdr:blipFill>
      <xdr:spPr bwMode="auto">
        <a:xfrm>
          <a:off x="1123950" y="3324225"/>
          <a:ext cx="3916508" cy="3552825"/>
        </a:xfrm>
        <a:prstGeom prst="rect">
          <a:avLst/>
        </a:prstGeom>
        <a:noFill/>
        <a:ln w="1">
          <a:noFill/>
          <a:miter lim="800000"/>
          <a:headEnd/>
          <a:tailEnd type="none" w="med" len="med"/>
        </a:ln>
        <a:effectLst/>
      </xdr:spPr>
    </xdr:pic>
    <xdr:clientData/>
  </xdr:twoCellAnchor>
  <xdr:twoCellAnchor>
    <xdr:from>
      <xdr:col>4</xdr:col>
      <xdr:colOff>28575</xdr:colOff>
      <xdr:row>75</xdr:row>
      <xdr:rowOff>180974</xdr:rowOff>
    </xdr:from>
    <xdr:to>
      <xdr:col>16</xdr:col>
      <xdr:colOff>423825</xdr:colOff>
      <xdr:row>78</xdr:row>
      <xdr:rowOff>41474</xdr:rowOff>
    </xdr:to>
    <xdr:sp macro="" textlink="">
      <xdr:nvSpPr>
        <xdr:cNvPr id="4" name="TextBox 3"/>
        <xdr:cNvSpPr txBox="1"/>
      </xdr:nvSpPr>
      <xdr:spPr>
        <a:xfrm>
          <a:off x="1933575" y="14897099"/>
          <a:ext cx="7920000" cy="432000"/>
        </a:xfrm>
        <a:prstGeom prst="rect">
          <a:avLst/>
        </a:prstGeom>
        <a:solidFill>
          <a:schemeClr val="lt1"/>
        </a:solidFill>
        <a:ln w="9525" cmpd="sng">
          <a:solidFill>
            <a:schemeClr val="lt1">
              <a:shade val="50000"/>
            </a:schemeClr>
          </a:solidFill>
        </a:ln>
        <a:effectLst>
          <a:outerShdw blurRad="50800" dist="50800" dir="5400000" algn="ctr" rotWithShape="0">
            <a:srgbClr val="000000">
              <a:alpha val="8200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a:solidFill>
                <a:schemeClr val="dk1"/>
              </a:solidFill>
              <a:latin typeface="+mn-lt"/>
              <a:ea typeface="+mn-ea"/>
              <a:cs typeface="+mn-cs"/>
            </a:rPr>
            <a:t>These spread sheets</a:t>
          </a:r>
          <a:r>
            <a:rPr lang="en-GB" sz="1000" baseline="0">
              <a:solidFill>
                <a:schemeClr val="dk1"/>
              </a:solidFill>
              <a:latin typeface="+mn-lt"/>
              <a:ea typeface="+mn-ea"/>
              <a:cs typeface="+mn-cs"/>
            </a:rPr>
            <a:t> produce preliminary values for estimating purposes.  All calculations must be checked, confirmed and approved by a qualified structural engineer.</a:t>
          </a:r>
          <a:endParaRPr lang="en-GB" sz="1000"/>
        </a:p>
      </xdr:txBody>
    </xdr:sp>
    <xdr:clientData/>
  </xdr:twoCellAnchor>
  <xdr:twoCellAnchor editAs="oneCell">
    <xdr:from>
      <xdr:col>1</xdr:col>
      <xdr:colOff>552450</xdr:colOff>
      <xdr:row>3</xdr:row>
      <xdr:rowOff>9525</xdr:rowOff>
    </xdr:from>
    <xdr:to>
      <xdr:col>18</xdr:col>
      <xdr:colOff>23025</xdr:colOff>
      <xdr:row>10</xdr:row>
      <xdr:rowOff>86295</xdr:rowOff>
    </xdr:to>
    <xdr:pic>
      <xdr:nvPicPr>
        <xdr:cNvPr id="10" name="Picture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2050" y="581025"/>
          <a:ext cx="9833775" cy="14102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380993</xdr:colOff>
      <xdr:row>15</xdr:row>
      <xdr:rowOff>28574</xdr:rowOff>
    </xdr:from>
    <xdr:to>
      <xdr:col>10</xdr:col>
      <xdr:colOff>58004</xdr:colOff>
      <xdr:row>36</xdr:row>
      <xdr:rowOff>57149</xdr:rowOff>
    </xdr:to>
    <xdr:pic>
      <xdr:nvPicPr>
        <xdr:cNvPr id="2" name="Picture 1"/>
        <xdr:cNvPicPr>
          <a:picLocks noChangeAspect="1" noChangeArrowheads="1"/>
        </xdr:cNvPicPr>
      </xdr:nvPicPr>
      <xdr:blipFill>
        <a:blip xmlns:r="http://schemas.openxmlformats.org/officeDocument/2006/relationships" r:embed="rId1" cstate="print"/>
        <a:srcRect l="27665" t="14318" r="27687" b="17824"/>
        <a:stretch>
          <a:fillRect/>
        </a:stretch>
      </xdr:blipFill>
      <xdr:spPr bwMode="auto">
        <a:xfrm>
          <a:off x="990593" y="2933699"/>
          <a:ext cx="5163411" cy="4029075"/>
        </a:xfrm>
        <a:prstGeom prst="rect">
          <a:avLst/>
        </a:prstGeom>
        <a:noFill/>
        <a:ln w="1">
          <a:noFill/>
          <a:miter lim="800000"/>
          <a:headEnd/>
          <a:tailEnd type="none" w="med" len="med"/>
        </a:ln>
        <a:effectLst/>
      </xdr:spPr>
    </xdr:pic>
    <xdr:clientData/>
  </xdr:twoCellAnchor>
  <xdr:twoCellAnchor>
    <xdr:from>
      <xdr:col>3</xdr:col>
      <xdr:colOff>590550</xdr:colOff>
      <xdr:row>75</xdr:row>
      <xdr:rowOff>133349</xdr:rowOff>
    </xdr:from>
    <xdr:to>
      <xdr:col>16</xdr:col>
      <xdr:colOff>295275</xdr:colOff>
      <xdr:row>77</xdr:row>
      <xdr:rowOff>184349</xdr:rowOff>
    </xdr:to>
    <xdr:sp macro="" textlink="">
      <xdr:nvSpPr>
        <xdr:cNvPr id="3" name="TextBox 2"/>
        <xdr:cNvSpPr txBox="1"/>
      </xdr:nvSpPr>
      <xdr:spPr>
        <a:xfrm>
          <a:off x="2419350" y="14678024"/>
          <a:ext cx="7629525" cy="432000"/>
        </a:xfrm>
        <a:prstGeom prst="rect">
          <a:avLst/>
        </a:prstGeom>
        <a:solidFill>
          <a:schemeClr val="lt1"/>
        </a:solidFill>
        <a:ln w="9525" cmpd="sng">
          <a:solidFill>
            <a:schemeClr val="lt1">
              <a:shade val="50000"/>
            </a:schemeClr>
          </a:solidFill>
        </a:ln>
        <a:effectLst>
          <a:outerShdw blurRad="50800" dist="50800" dir="5400000" algn="ctr" rotWithShape="0">
            <a:srgbClr val="000000">
              <a:alpha val="8200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a:solidFill>
                <a:schemeClr val="dk1"/>
              </a:solidFill>
              <a:latin typeface="+mn-lt"/>
              <a:ea typeface="+mn-ea"/>
              <a:cs typeface="+mn-cs"/>
            </a:rPr>
            <a:t>These spread sheets</a:t>
          </a:r>
          <a:r>
            <a:rPr lang="en-GB" sz="1000" baseline="0">
              <a:solidFill>
                <a:schemeClr val="dk1"/>
              </a:solidFill>
              <a:latin typeface="+mn-lt"/>
              <a:ea typeface="+mn-ea"/>
              <a:cs typeface="+mn-cs"/>
            </a:rPr>
            <a:t> produce preliminary values for estimating purposes.  All calculations must be checked, confirmed and approved by a qualified structural engineer.</a:t>
          </a:r>
          <a:endParaRPr lang="en-GB" sz="1000"/>
        </a:p>
      </xdr:txBody>
    </xdr:sp>
    <xdr:clientData/>
  </xdr:twoCellAnchor>
  <xdr:twoCellAnchor editAs="oneCell">
    <xdr:from>
      <xdr:col>1</xdr:col>
      <xdr:colOff>561975</xdr:colOff>
      <xdr:row>2</xdr:row>
      <xdr:rowOff>28575</xdr:rowOff>
    </xdr:from>
    <xdr:to>
      <xdr:col>18</xdr:col>
      <xdr:colOff>32550</xdr:colOff>
      <xdr:row>9</xdr:row>
      <xdr:rowOff>105345</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71575" y="409575"/>
          <a:ext cx="9833775" cy="14102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756642</xdr:colOff>
      <xdr:row>62</xdr:row>
      <xdr:rowOff>9524</xdr:rowOff>
    </xdr:from>
    <xdr:to>
      <xdr:col>18</xdr:col>
      <xdr:colOff>0</xdr:colOff>
      <xdr:row>73</xdr:row>
      <xdr:rowOff>171449</xdr:rowOff>
    </xdr:to>
    <xdr:pic>
      <xdr:nvPicPr>
        <xdr:cNvPr id="2"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contrast="-20000"/>
        </a:blip>
        <a:srcRect l="29614" t="13229" r="42291" b="17655"/>
        <a:stretch>
          <a:fillRect/>
        </a:stretch>
      </xdr:blipFill>
      <xdr:spPr bwMode="auto">
        <a:xfrm>
          <a:off x="9338667" y="11868149"/>
          <a:ext cx="1824633" cy="2466975"/>
        </a:xfrm>
        <a:prstGeom prst="rect">
          <a:avLst/>
        </a:prstGeom>
        <a:solidFill>
          <a:schemeClr val="bg1"/>
        </a:solidFill>
        <a:ln>
          <a:solidFill>
            <a:schemeClr val="tx1"/>
          </a:solidFill>
        </a:ln>
        <a:effectLst/>
      </xdr:spPr>
    </xdr:pic>
    <xdr:clientData/>
  </xdr:twoCellAnchor>
  <xdr:twoCellAnchor>
    <xdr:from>
      <xdr:col>4</xdr:col>
      <xdr:colOff>114300</xdr:colOff>
      <xdr:row>76</xdr:row>
      <xdr:rowOff>9524</xdr:rowOff>
    </xdr:from>
    <xdr:to>
      <xdr:col>17</xdr:col>
      <xdr:colOff>652425</xdr:colOff>
      <xdr:row>78</xdr:row>
      <xdr:rowOff>60524</xdr:rowOff>
    </xdr:to>
    <xdr:sp macro="" textlink="">
      <xdr:nvSpPr>
        <xdr:cNvPr id="3" name="TextBox 2"/>
        <xdr:cNvSpPr txBox="1"/>
      </xdr:nvSpPr>
      <xdr:spPr>
        <a:xfrm>
          <a:off x="2552700" y="14754224"/>
          <a:ext cx="8615325" cy="432000"/>
        </a:xfrm>
        <a:prstGeom prst="rect">
          <a:avLst/>
        </a:prstGeom>
        <a:solidFill>
          <a:schemeClr val="lt1"/>
        </a:solidFill>
        <a:ln w="9525" cmpd="sng">
          <a:solidFill>
            <a:schemeClr val="lt1">
              <a:shade val="50000"/>
            </a:schemeClr>
          </a:solidFill>
        </a:ln>
        <a:effectLst>
          <a:outerShdw blurRad="50800" dist="50800" dir="5400000" algn="ctr" rotWithShape="0">
            <a:srgbClr val="000000">
              <a:alpha val="8200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a:solidFill>
                <a:schemeClr val="dk1"/>
              </a:solidFill>
              <a:latin typeface="+mn-lt"/>
              <a:ea typeface="+mn-ea"/>
              <a:cs typeface="+mn-cs"/>
            </a:rPr>
            <a:t>These spread sheets</a:t>
          </a:r>
          <a:r>
            <a:rPr lang="en-GB" sz="1000" baseline="0">
              <a:solidFill>
                <a:schemeClr val="dk1"/>
              </a:solidFill>
              <a:latin typeface="+mn-lt"/>
              <a:ea typeface="+mn-ea"/>
              <a:cs typeface="+mn-cs"/>
            </a:rPr>
            <a:t> produce preliminary values for estimating purposes.  All calculations must be checked, confirmed and approved by a qualified structural engineer.</a:t>
          </a:r>
          <a:endParaRPr lang="en-GB" sz="1000"/>
        </a:p>
      </xdr:txBody>
    </xdr:sp>
    <xdr:clientData/>
  </xdr:twoCellAnchor>
  <xdr:twoCellAnchor editAs="oneCell">
    <xdr:from>
      <xdr:col>2</xdr:col>
      <xdr:colOff>301329</xdr:colOff>
      <xdr:row>15</xdr:row>
      <xdr:rowOff>85725</xdr:rowOff>
    </xdr:from>
    <xdr:to>
      <xdr:col>10</xdr:col>
      <xdr:colOff>49868</xdr:colOff>
      <xdr:row>37</xdr:row>
      <xdr:rowOff>76200</xdr:rowOff>
    </xdr:to>
    <xdr:pic>
      <xdr:nvPicPr>
        <xdr:cNvPr id="8" name="Picture 7" descr="Single Span diagram.jpg"/>
        <xdr:cNvPicPr>
          <a:picLocks noChangeAspect="1"/>
        </xdr:cNvPicPr>
      </xdr:nvPicPr>
      <xdr:blipFill>
        <a:blip xmlns:r="http://schemas.openxmlformats.org/officeDocument/2006/relationships" r:embed="rId2" cstate="print"/>
        <a:stretch>
          <a:fillRect/>
        </a:stretch>
      </xdr:blipFill>
      <xdr:spPr>
        <a:xfrm>
          <a:off x="1520529" y="2943225"/>
          <a:ext cx="4625339" cy="4181475"/>
        </a:xfrm>
        <a:prstGeom prst="rect">
          <a:avLst/>
        </a:prstGeom>
      </xdr:spPr>
    </xdr:pic>
    <xdr:clientData/>
  </xdr:twoCellAnchor>
  <xdr:twoCellAnchor editAs="oneCell">
    <xdr:from>
      <xdr:col>2</xdr:col>
      <xdr:colOff>180975</xdr:colOff>
      <xdr:row>2</xdr:row>
      <xdr:rowOff>171450</xdr:rowOff>
    </xdr:from>
    <xdr:to>
      <xdr:col>18</xdr:col>
      <xdr:colOff>261150</xdr:colOff>
      <xdr:row>10</xdr:row>
      <xdr:rowOff>57720</xdr:rowOff>
    </xdr:to>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00175" y="552450"/>
          <a:ext cx="9833775" cy="14102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1</xdr:colOff>
      <xdr:row>62</xdr:row>
      <xdr:rowOff>17960</xdr:rowOff>
    </xdr:from>
    <xdr:to>
      <xdr:col>18</xdr:col>
      <xdr:colOff>2123</xdr:colOff>
      <xdr:row>74</xdr:row>
      <xdr:rowOff>104775</xdr:rowOff>
    </xdr:to>
    <xdr:pic>
      <xdr:nvPicPr>
        <xdr:cNvPr id="2" name="Picture 1"/>
        <xdr:cNvPicPr>
          <a:picLocks noChangeAspect="1" noChangeArrowheads="1"/>
        </xdr:cNvPicPr>
      </xdr:nvPicPr>
      <xdr:blipFill>
        <a:blip xmlns:r="http://schemas.openxmlformats.org/officeDocument/2006/relationships" r:embed="rId1" cstate="print">
          <a:lum contrast="10000"/>
        </a:blip>
        <a:srcRect l="33016" t="13989" r="41837" b="17280"/>
        <a:stretch>
          <a:fillRect/>
        </a:stretch>
      </xdr:blipFill>
      <xdr:spPr bwMode="auto">
        <a:xfrm>
          <a:off x="9715501" y="11924210"/>
          <a:ext cx="1830922" cy="2468065"/>
        </a:xfrm>
        <a:prstGeom prst="rect">
          <a:avLst/>
        </a:prstGeom>
        <a:ln>
          <a:solidFill>
            <a:schemeClr val="tx1"/>
          </a:solidFill>
        </a:ln>
        <a:effectLst/>
      </xdr:spPr>
    </xdr:pic>
    <xdr:clientData/>
  </xdr:twoCellAnchor>
  <xdr:twoCellAnchor>
    <xdr:from>
      <xdr:col>2</xdr:col>
      <xdr:colOff>571500</xdr:colOff>
      <xdr:row>76</xdr:row>
      <xdr:rowOff>180974</xdr:rowOff>
    </xdr:from>
    <xdr:to>
      <xdr:col>16</xdr:col>
      <xdr:colOff>595275</xdr:colOff>
      <xdr:row>79</xdr:row>
      <xdr:rowOff>41474</xdr:rowOff>
    </xdr:to>
    <xdr:sp macro="" textlink="">
      <xdr:nvSpPr>
        <xdr:cNvPr id="3" name="TextBox 2"/>
        <xdr:cNvSpPr txBox="1"/>
      </xdr:nvSpPr>
      <xdr:spPr>
        <a:xfrm>
          <a:off x="1790700" y="14849474"/>
          <a:ext cx="9129675" cy="432000"/>
        </a:xfrm>
        <a:prstGeom prst="rect">
          <a:avLst/>
        </a:prstGeom>
        <a:solidFill>
          <a:schemeClr val="lt1"/>
        </a:solidFill>
        <a:ln w="9525" cmpd="sng">
          <a:solidFill>
            <a:schemeClr val="lt1">
              <a:shade val="50000"/>
            </a:schemeClr>
          </a:solidFill>
        </a:ln>
        <a:effectLst>
          <a:outerShdw blurRad="50800" dist="50800" dir="5400000" algn="ctr" rotWithShape="0">
            <a:srgbClr val="000000">
              <a:alpha val="8200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a:solidFill>
                <a:schemeClr val="dk1"/>
              </a:solidFill>
              <a:latin typeface="+mn-lt"/>
              <a:ea typeface="+mn-ea"/>
              <a:cs typeface="+mn-cs"/>
            </a:rPr>
            <a:t>These spread sheets</a:t>
          </a:r>
          <a:r>
            <a:rPr lang="en-GB" sz="1000" baseline="0">
              <a:solidFill>
                <a:schemeClr val="dk1"/>
              </a:solidFill>
              <a:latin typeface="+mn-lt"/>
              <a:ea typeface="+mn-ea"/>
              <a:cs typeface="+mn-cs"/>
            </a:rPr>
            <a:t> produce preliminary values for estimating purposes.  All calculations must be checked, confirmed and approved by a qualified structural engineer.</a:t>
          </a:r>
          <a:endParaRPr lang="en-GB" sz="1000"/>
        </a:p>
      </xdr:txBody>
    </xdr:sp>
    <xdr:clientData/>
  </xdr:twoCellAnchor>
  <xdr:twoCellAnchor editAs="oneCell">
    <xdr:from>
      <xdr:col>1</xdr:col>
      <xdr:colOff>551000</xdr:colOff>
      <xdr:row>13</xdr:row>
      <xdr:rowOff>219075</xdr:rowOff>
    </xdr:from>
    <xdr:to>
      <xdr:col>7</xdr:col>
      <xdr:colOff>123078</xdr:colOff>
      <xdr:row>35</xdr:row>
      <xdr:rowOff>123825</xdr:rowOff>
    </xdr:to>
    <xdr:pic>
      <xdr:nvPicPr>
        <xdr:cNvPr id="8" name="Picture 7" descr="Double Span diagram.jpg"/>
        <xdr:cNvPicPr>
          <a:picLocks noChangeAspect="1"/>
        </xdr:cNvPicPr>
      </xdr:nvPicPr>
      <xdr:blipFill>
        <a:blip xmlns:r="http://schemas.openxmlformats.org/officeDocument/2006/relationships" r:embed="rId2" cstate="print"/>
        <a:stretch>
          <a:fillRect/>
        </a:stretch>
      </xdr:blipFill>
      <xdr:spPr>
        <a:xfrm>
          <a:off x="1160600" y="2695575"/>
          <a:ext cx="3229678" cy="4143375"/>
        </a:xfrm>
        <a:prstGeom prst="rect">
          <a:avLst/>
        </a:prstGeom>
      </xdr:spPr>
    </xdr:pic>
    <xdr:clientData/>
  </xdr:twoCellAnchor>
  <xdr:twoCellAnchor editAs="oneCell">
    <xdr:from>
      <xdr:col>1</xdr:col>
      <xdr:colOff>581026</xdr:colOff>
      <xdr:row>2</xdr:row>
      <xdr:rowOff>57150</xdr:rowOff>
    </xdr:from>
    <xdr:to>
      <xdr:col>18</xdr:col>
      <xdr:colOff>9526</xdr:colOff>
      <xdr:row>9</xdr:row>
      <xdr:rowOff>133920</xdr:rowOff>
    </xdr:to>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0626" y="438150"/>
          <a:ext cx="9791700" cy="14102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495300</xdr:colOff>
      <xdr:row>16</xdr:row>
      <xdr:rowOff>0</xdr:rowOff>
    </xdr:from>
    <xdr:to>
      <xdr:col>6</xdr:col>
      <xdr:colOff>485775</xdr:colOff>
      <xdr:row>30</xdr:row>
      <xdr:rowOff>225</xdr:rowOff>
    </xdr:to>
    <xdr:pic>
      <xdr:nvPicPr>
        <xdr:cNvPr id="2" name="Picture 1"/>
        <xdr:cNvPicPr>
          <a:picLocks noChangeAspect="1" noChangeArrowheads="1"/>
        </xdr:cNvPicPr>
      </xdr:nvPicPr>
      <xdr:blipFill>
        <a:blip xmlns:r="http://schemas.openxmlformats.org/officeDocument/2006/relationships" r:embed="rId1" cstate="print"/>
        <a:srcRect l="25747" t="13494" r="33474" b="16656"/>
        <a:stretch>
          <a:fillRect/>
        </a:stretch>
      </xdr:blipFill>
      <xdr:spPr bwMode="auto">
        <a:xfrm>
          <a:off x="1143000" y="3286125"/>
          <a:ext cx="3238500" cy="2772000"/>
        </a:xfrm>
        <a:prstGeom prst="rect">
          <a:avLst/>
        </a:prstGeom>
        <a:noFill/>
        <a:ln w="1">
          <a:noFill/>
          <a:miter lim="800000"/>
          <a:headEnd/>
          <a:tailEnd type="none" w="med" len="med"/>
        </a:ln>
        <a:effectLst/>
      </xdr:spPr>
    </xdr:pic>
    <xdr:clientData/>
  </xdr:twoCellAnchor>
  <xdr:twoCellAnchor>
    <xdr:from>
      <xdr:col>2</xdr:col>
      <xdr:colOff>514350</xdr:colOff>
      <xdr:row>76</xdr:row>
      <xdr:rowOff>19049</xdr:rowOff>
    </xdr:from>
    <xdr:to>
      <xdr:col>15</xdr:col>
      <xdr:colOff>471450</xdr:colOff>
      <xdr:row>78</xdr:row>
      <xdr:rowOff>70049</xdr:rowOff>
    </xdr:to>
    <xdr:sp macro="" textlink="">
      <xdr:nvSpPr>
        <xdr:cNvPr id="3" name="TextBox 2"/>
        <xdr:cNvSpPr txBox="1"/>
      </xdr:nvSpPr>
      <xdr:spPr>
        <a:xfrm>
          <a:off x="1790700" y="14792324"/>
          <a:ext cx="7920000" cy="432000"/>
        </a:xfrm>
        <a:prstGeom prst="rect">
          <a:avLst/>
        </a:prstGeom>
        <a:solidFill>
          <a:schemeClr val="lt1"/>
        </a:solidFill>
        <a:ln w="9525" cmpd="sng">
          <a:solidFill>
            <a:schemeClr val="lt1">
              <a:shade val="50000"/>
            </a:schemeClr>
          </a:solidFill>
        </a:ln>
        <a:effectLst>
          <a:outerShdw blurRad="50800" dist="50800" dir="5400000" algn="ctr" rotWithShape="0">
            <a:srgbClr val="000000">
              <a:alpha val="82000"/>
            </a:srgb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a:solidFill>
                <a:schemeClr val="dk1"/>
              </a:solidFill>
              <a:latin typeface="+mn-lt"/>
              <a:ea typeface="+mn-ea"/>
              <a:cs typeface="+mn-cs"/>
            </a:rPr>
            <a:t>These spread sheets</a:t>
          </a:r>
          <a:r>
            <a:rPr lang="en-GB" sz="1000" baseline="0">
              <a:solidFill>
                <a:schemeClr val="dk1"/>
              </a:solidFill>
              <a:latin typeface="+mn-lt"/>
              <a:ea typeface="+mn-ea"/>
              <a:cs typeface="+mn-cs"/>
            </a:rPr>
            <a:t> produce preliminary values for estimating purposes.  All calculations must be checked, confirmed and approved by a qualified structural engineer.</a:t>
          </a:r>
          <a:endParaRPr lang="en-GB" sz="1000"/>
        </a:p>
      </xdr:txBody>
    </xdr:sp>
    <xdr:clientData/>
  </xdr:twoCellAnchor>
  <xdr:twoCellAnchor editAs="oneCell">
    <xdr:from>
      <xdr:col>1</xdr:col>
      <xdr:colOff>581025</xdr:colOff>
      <xdr:row>1</xdr:row>
      <xdr:rowOff>161925</xdr:rowOff>
    </xdr:from>
    <xdr:to>
      <xdr:col>18</xdr:col>
      <xdr:colOff>51600</xdr:colOff>
      <xdr:row>9</xdr:row>
      <xdr:rowOff>48195</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90625" y="352425"/>
          <a:ext cx="9833775" cy="14102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edmondson/AppData/Local/Microsoft/Windows/Temporary%20Internet%20Files/Content.Outlook/EFLOB3PE/Metal%20Tech/Mt%20Structural%20Spread%20Sheet%2013-12-09%20rev%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Page"/>
      <sheetName val="6399 S"/>
      <sheetName val="Sheet1 (2)"/>
      <sheetName val="BS6399-2 Standard Method"/>
      <sheetName val="4-35 &amp; 5-35 Window Mullion"/>
      <sheetName val="Window M Calc"/>
      <sheetName val="Single Span Mullion Bracket"/>
      <sheetName val="4-35 &amp; 5-35 Window Transom"/>
      <sheetName val="WT Calc"/>
      <sheetName val="CW Mullion Single Span"/>
      <sheetName val="CW SSM Calc"/>
      <sheetName val="DB Calc"/>
      <sheetName val="CW Mullion Twin Span"/>
      <sheetName val="DS Calc"/>
      <sheetName val="CW Transom"/>
      <sheetName val="SD2C"/>
      <sheetName val="SD1C"/>
      <sheetName val="CW T Calc"/>
    </sheetNames>
    <sheetDataSet>
      <sheetData sheetId="0" refreshError="1"/>
      <sheetData sheetId="1" refreshError="1"/>
      <sheetData sheetId="2" refreshError="1"/>
      <sheetData sheetId="3" refreshError="1"/>
      <sheetData sheetId="4" refreshError="1"/>
      <sheetData sheetId="5">
        <row r="1">
          <cell r="B1" t="str">
            <v>pinned</v>
          </cell>
          <cell r="DD1" t="str">
            <v>Standard Mullion</v>
          </cell>
        </row>
        <row r="2">
          <cell r="B2" t="str">
            <v>fixed</v>
          </cell>
          <cell r="DD2" t="str">
            <v>SM with extruded box or fin</v>
          </cell>
        </row>
        <row r="3">
          <cell r="DD3" t="str">
            <v>Standard mullion reinforced with 007 or 008</v>
          </cell>
        </row>
        <row r="4">
          <cell r="DD4" t="str">
            <v>2 No. outer frames coupled directly to each other</v>
          </cell>
        </row>
        <row r="5">
          <cell r="DD5" t="str">
            <v>2 No. outer frames  plus coupling mullion</v>
          </cell>
        </row>
        <row r="7">
          <cell r="DD7" t="str">
            <v>Door to window coupling 668-669</v>
          </cell>
        </row>
        <row r="18">
          <cell r="A18" t="str">
            <v>Wind Load Custom</v>
          </cell>
        </row>
        <row r="19">
          <cell r="A19" t="str">
            <v>BS 6399-2 Standard</v>
          </cell>
        </row>
      </sheetData>
      <sheetData sheetId="6" refreshError="1"/>
      <sheetData sheetId="7" refreshError="1"/>
      <sheetData sheetId="8">
        <row r="1">
          <cell r="I1" t="str">
            <v>Standard transom</v>
          </cell>
        </row>
        <row r="2">
          <cell r="I2" t="str">
            <v>Standard transom with extruded box or fin</v>
          </cell>
        </row>
        <row r="3">
          <cell r="I3" t="str">
            <v>Standard transom reinforced with 007 or 008</v>
          </cell>
        </row>
        <row r="4">
          <cell r="I4" t="str">
            <v>2 No. outer frames coupled directly to each other</v>
          </cell>
        </row>
      </sheetData>
      <sheetData sheetId="9" refreshError="1"/>
      <sheetData sheetId="10">
        <row r="1">
          <cell r="P1" t="str">
            <v>Head (Top Hung)</v>
          </cell>
          <cell r="R1" t="str">
            <v>None</v>
          </cell>
          <cell r="V1" t="str">
            <v>Box Mullion</v>
          </cell>
        </row>
        <row r="2">
          <cell r="P2" t="str">
            <v>Cill (Bottom Stacked)</v>
          </cell>
          <cell r="R2" t="str">
            <v>Aluminium Spigot</v>
          </cell>
          <cell r="V2" t="str">
            <v>Eliptical Mullion</v>
          </cell>
        </row>
        <row r="14">
          <cell r="A14" t="str">
            <v>None</v>
          </cell>
        </row>
        <row r="15">
          <cell r="A15" t="str">
            <v xml:space="preserve">Aluminium spigot </v>
          </cell>
        </row>
        <row r="18">
          <cell r="A18" t="str">
            <v>Wind Load Custom</v>
          </cell>
        </row>
        <row r="19">
          <cell r="A19" t="str">
            <v>BS 6399-2 Standard</v>
          </cell>
          <cell r="R19" t="str">
            <v>System 17</v>
          </cell>
        </row>
        <row r="20">
          <cell r="R20" t="str">
            <v>System 17 Latitude</v>
          </cell>
        </row>
        <row r="21">
          <cell r="R21" t="str">
            <v>System 17 SP</v>
          </cell>
        </row>
        <row r="34">
          <cell r="I34" t="str">
            <v>200mm</v>
          </cell>
          <cell r="K34">
            <v>1</v>
          </cell>
        </row>
        <row r="35">
          <cell r="I35" t="str">
            <v>150mm</v>
          </cell>
          <cell r="K35">
            <v>2</v>
          </cell>
        </row>
        <row r="36">
          <cell r="K36">
            <v>3</v>
          </cell>
        </row>
        <row r="37">
          <cell r="K37">
            <v>4</v>
          </cell>
        </row>
        <row r="38">
          <cell r="K38">
            <v>5</v>
          </cell>
        </row>
        <row r="39">
          <cell r="K39">
            <v>6</v>
          </cell>
        </row>
        <row r="40">
          <cell r="K40">
            <v>7</v>
          </cell>
        </row>
      </sheetData>
      <sheetData sheetId="11" refreshError="1"/>
      <sheetData sheetId="12" refreshError="1"/>
      <sheetData sheetId="13">
        <row r="1">
          <cell r="A1" t="str">
            <v>None</v>
          </cell>
          <cell r="D1" t="str">
            <v>Head (Top Hung)</v>
          </cell>
        </row>
        <row r="2">
          <cell r="A2" t="str">
            <v xml:space="preserve">Aluminium spigot </v>
          </cell>
          <cell r="D2" t="str">
            <v>Midsupport</v>
          </cell>
        </row>
        <row r="3">
          <cell r="D3" t="str">
            <v>Cill (Bottom Stacked)</v>
          </cell>
        </row>
        <row r="18">
          <cell r="A18" t="str">
            <v>Wind Load Custom</v>
          </cell>
          <cell r="S18" t="str">
            <v>Box Mullion</v>
          </cell>
        </row>
        <row r="19">
          <cell r="A19" t="str">
            <v>BS 6399-2 Standard</v>
          </cell>
          <cell r="S19" t="str">
            <v>Eliptical Mullion</v>
          </cell>
        </row>
        <row r="20">
          <cell r="N20" t="str">
            <v>System 17</v>
          </cell>
        </row>
        <row r="21">
          <cell r="N21" t="str">
            <v>System 17 Latitude</v>
          </cell>
        </row>
        <row r="22">
          <cell r="N22" t="str">
            <v>System 17  SP</v>
          </cell>
        </row>
        <row r="28">
          <cell r="A28" t="str">
            <v>None</v>
          </cell>
          <cell r="P28" t="str">
            <v>Top</v>
          </cell>
        </row>
        <row r="29">
          <cell r="A29" t="str">
            <v>Aluminium spigot</v>
          </cell>
          <cell r="P29" t="str">
            <v>Bottom</v>
          </cell>
        </row>
        <row r="30">
          <cell r="P30" t="str">
            <v>Both</v>
          </cell>
        </row>
      </sheetData>
      <sheetData sheetId="14" refreshError="1"/>
      <sheetData sheetId="15" refreshError="1"/>
      <sheetData sheetId="16" refreshError="1"/>
      <sheetData sheetId="17">
        <row r="14">
          <cell r="A14" t="str">
            <v>Wind Load Custom</v>
          </cell>
        </row>
        <row r="15">
          <cell r="A15" t="str">
            <v>BS 6399-2 Standard</v>
          </cell>
          <cell r="F15" t="str">
            <v>System 17</v>
          </cell>
        </row>
        <row r="16">
          <cell r="F16" t="str">
            <v>System 17 Latitude</v>
          </cell>
        </row>
        <row r="17">
          <cell r="F17" t="str">
            <v>System 17  SP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connor.corry/AppData/Local/Microsoft/Windows/AppData/Local/Microsoft/Windows/mike.watson/AppData/Local/drew.mccann/Local%20Settings/Temporary%20Internet%20Files/Content.Outlook/AppData/Local/Microsoft/Local%20Settings/Documents%20and%20Settings/j.philippi/My%20Documents/Jobs/Metaltech/Temporary%20Internet%20Files/Content.Outlook/Temporary%20Internet%20Files/Content.Outlook/Temporary%20Internet%20Files/My%20Documents/My%20Documents/Metaltech/Metaltech%20Calculation%20Programme/Curtain%20Wall%20Transom%20Help.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76"/>
  <sheetViews>
    <sheetView topLeftCell="A4" zoomScale="130" zoomScaleNormal="130" zoomScaleSheetLayoutView="110" workbookViewId="0">
      <selection activeCell="D16" sqref="D16:G16"/>
    </sheetView>
  </sheetViews>
  <sheetFormatPr defaultRowHeight="15" x14ac:dyDescent="0.25"/>
  <sheetData>
    <row r="2" spans="2:16" x14ac:dyDescent="0.25">
      <c r="B2" s="2"/>
      <c r="C2" s="3"/>
      <c r="D2" s="3"/>
      <c r="E2" s="3"/>
      <c r="F2" s="3"/>
      <c r="G2" s="3"/>
      <c r="H2" s="3"/>
      <c r="I2" s="3"/>
      <c r="J2" s="3"/>
      <c r="K2" s="3"/>
      <c r="L2" s="3"/>
      <c r="M2" s="3"/>
      <c r="N2" s="3"/>
      <c r="O2" s="3"/>
      <c r="P2" s="4"/>
    </row>
    <row r="3" spans="2:16" x14ac:dyDescent="0.25">
      <c r="B3" s="5"/>
      <c r="C3" s="6"/>
      <c r="D3" s="6"/>
      <c r="E3" s="6"/>
      <c r="F3" s="6"/>
      <c r="G3" s="6"/>
      <c r="H3" s="6"/>
      <c r="I3" s="6"/>
      <c r="J3" s="6"/>
      <c r="K3" s="6"/>
      <c r="L3" s="6"/>
      <c r="M3" s="6"/>
      <c r="N3" s="6"/>
      <c r="O3" s="6"/>
      <c r="P3" s="28"/>
    </row>
    <row r="4" spans="2:16" x14ac:dyDescent="0.25">
      <c r="B4" s="5"/>
      <c r="C4" s="77"/>
      <c r="D4" s="6"/>
      <c r="E4" s="6"/>
      <c r="F4" s="6"/>
      <c r="G4" s="6"/>
      <c r="H4" s="6"/>
      <c r="I4" s="6"/>
      <c r="J4" s="6"/>
      <c r="K4" s="6"/>
      <c r="L4" s="6"/>
      <c r="M4" s="6"/>
      <c r="N4" s="6"/>
      <c r="O4" s="6"/>
      <c r="P4" s="28"/>
    </row>
    <row r="5" spans="2:16" x14ac:dyDescent="0.25">
      <c r="B5" s="5"/>
      <c r="C5" s="78"/>
      <c r="D5" s="6"/>
      <c r="E5" s="6"/>
      <c r="F5" s="6"/>
      <c r="G5" s="6"/>
      <c r="H5" s="6"/>
      <c r="I5" s="6"/>
      <c r="J5" s="6"/>
      <c r="K5" s="6"/>
      <c r="L5" s="6"/>
      <c r="M5" s="6"/>
      <c r="N5" s="6"/>
      <c r="O5" s="6"/>
      <c r="P5" s="28"/>
    </row>
    <row r="6" spans="2:16" x14ac:dyDescent="0.25">
      <c r="B6" s="5"/>
      <c r="C6" s="6"/>
      <c r="D6" s="6"/>
      <c r="E6" s="6"/>
      <c r="F6" s="6"/>
      <c r="G6" s="6"/>
      <c r="H6" s="6"/>
      <c r="I6" s="6"/>
      <c r="J6" s="6"/>
      <c r="K6" s="6"/>
      <c r="L6" s="6"/>
      <c r="M6" s="6"/>
      <c r="N6" s="6"/>
      <c r="O6" s="6"/>
      <c r="P6" s="28"/>
    </row>
    <row r="7" spans="2:16" x14ac:dyDescent="0.25">
      <c r="B7" s="5"/>
      <c r="C7" s="6"/>
      <c r="D7" s="6"/>
      <c r="E7" s="6"/>
      <c r="F7" s="6"/>
      <c r="G7" s="6"/>
      <c r="H7" s="6"/>
      <c r="I7" s="6"/>
      <c r="J7" s="6"/>
      <c r="K7" s="6"/>
      <c r="L7" s="6"/>
      <c r="M7" s="6"/>
      <c r="N7" s="6"/>
      <c r="O7" s="6"/>
      <c r="P7" s="28"/>
    </row>
    <row r="8" spans="2:16" x14ac:dyDescent="0.25">
      <c r="B8" s="5"/>
      <c r="C8" s="79"/>
      <c r="D8" s="6"/>
      <c r="E8" s="6"/>
      <c r="F8" s="6"/>
      <c r="G8" s="6"/>
      <c r="H8" s="6"/>
      <c r="I8" s="6"/>
      <c r="J8" s="6"/>
      <c r="K8" s="6"/>
      <c r="L8" s="6"/>
      <c r="M8" s="6"/>
      <c r="N8" s="6"/>
      <c r="O8" s="6"/>
      <c r="P8" s="28"/>
    </row>
    <row r="9" spans="2:16" x14ac:dyDescent="0.25">
      <c r="B9" s="5"/>
      <c r="C9" s="6"/>
      <c r="D9" s="6"/>
      <c r="E9" s="6"/>
      <c r="F9" s="6"/>
      <c r="G9" s="6"/>
      <c r="H9" s="6"/>
      <c r="I9" s="6"/>
      <c r="J9" s="6"/>
      <c r="K9" s="6"/>
      <c r="L9" s="6"/>
      <c r="M9" s="6"/>
      <c r="N9" s="6"/>
      <c r="O9" s="6"/>
      <c r="P9" s="80"/>
    </row>
    <row r="10" spans="2:16" x14ac:dyDescent="0.25">
      <c r="B10" s="5"/>
      <c r="C10" s="6"/>
      <c r="D10" s="6"/>
      <c r="E10" s="6"/>
      <c r="F10" s="6"/>
      <c r="G10" s="6"/>
      <c r="H10" s="6"/>
      <c r="I10" s="6"/>
      <c r="J10" s="6"/>
      <c r="K10" s="6"/>
      <c r="L10" s="6"/>
      <c r="M10" s="6"/>
      <c r="N10" s="6"/>
      <c r="O10" s="6"/>
      <c r="P10" s="81"/>
    </row>
    <row r="11" spans="2:16" x14ac:dyDescent="0.25">
      <c r="B11" s="5"/>
      <c r="C11" s="6"/>
      <c r="D11" s="6"/>
      <c r="E11" s="6"/>
      <c r="F11" s="6"/>
      <c r="G11" s="6"/>
      <c r="H11" s="6"/>
      <c r="I11" s="6"/>
      <c r="J11" s="6"/>
      <c r="K11" s="6"/>
      <c r="L11" s="6"/>
      <c r="M11" s="6"/>
      <c r="N11" s="6"/>
      <c r="O11" s="6"/>
      <c r="P11" s="28"/>
    </row>
    <row r="12" spans="2:16" x14ac:dyDescent="0.25">
      <c r="B12" s="5"/>
      <c r="C12" s="6"/>
      <c r="D12" s="6"/>
      <c r="E12" s="6"/>
      <c r="F12" s="6"/>
      <c r="G12" s="6"/>
      <c r="H12" s="6"/>
      <c r="I12" s="6"/>
      <c r="J12" s="6"/>
      <c r="K12" s="6"/>
      <c r="L12" s="6"/>
      <c r="M12" s="6"/>
      <c r="N12" s="6"/>
      <c r="O12" s="6"/>
      <c r="P12" s="28"/>
    </row>
    <row r="13" spans="2:16" x14ac:dyDescent="0.25">
      <c r="B13" s="5"/>
      <c r="C13" s="6" t="s">
        <v>80</v>
      </c>
      <c r="D13" s="6"/>
      <c r="E13" s="6"/>
      <c r="F13" s="6"/>
      <c r="G13" s="6"/>
      <c r="H13" s="6"/>
      <c r="I13" s="6"/>
      <c r="J13" s="6"/>
      <c r="K13" s="6"/>
      <c r="L13" s="6"/>
      <c r="M13" s="6"/>
      <c r="N13" s="6"/>
      <c r="O13" s="6"/>
      <c r="P13" s="28"/>
    </row>
    <row r="14" spans="2:16" x14ac:dyDescent="0.25">
      <c r="B14" s="5"/>
      <c r="C14" s="6"/>
      <c r="D14" s="6"/>
      <c r="E14" s="6"/>
      <c r="F14" s="6"/>
      <c r="G14" s="6"/>
      <c r="H14" s="6"/>
      <c r="I14" s="6"/>
      <c r="J14" s="6"/>
      <c r="K14" s="6"/>
      <c r="L14" s="6"/>
      <c r="M14" s="6"/>
      <c r="N14" s="6"/>
      <c r="O14" s="6"/>
      <c r="P14" s="28"/>
    </row>
    <row r="15" spans="2:16" x14ac:dyDescent="0.25">
      <c r="B15" s="5"/>
      <c r="C15" s="6"/>
      <c r="D15" s="6"/>
      <c r="E15" s="6"/>
      <c r="F15" s="6"/>
      <c r="G15" s="6"/>
      <c r="H15" s="6"/>
      <c r="I15" s="6"/>
      <c r="J15" s="6"/>
      <c r="K15" s="6"/>
      <c r="L15" s="6"/>
      <c r="M15" s="6"/>
      <c r="N15" s="6"/>
      <c r="O15" s="6"/>
      <c r="P15" s="28"/>
    </row>
    <row r="16" spans="2:16" x14ac:dyDescent="0.25">
      <c r="B16" s="5"/>
      <c r="C16" s="82" t="s">
        <v>50</v>
      </c>
      <c r="D16" s="469"/>
      <c r="E16" s="470"/>
      <c r="F16" s="470"/>
      <c r="G16" s="471"/>
      <c r="H16" s="83" t="s">
        <v>81</v>
      </c>
      <c r="I16" s="84"/>
      <c r="J16" s="85" t="s">
        <v>82</v>
      </c>
      <c r="K16" s="472"/>
      <c r="L16" s="473"/>
      <c r="M16" s="473"/>
      <c r="N16" s="86" t="s">
        <v>53</v>
      </c>
      <c r="O16" s="87"/>
      <c r="P16" s="28"/>
    </row>
    <row r="17" spans="2:16" x14ac:dyDescent="0.25">
      <c r="B17" s="5"/>
      <c r="C17" s="88" t="s">
        <v>54</v>
      </c>
      <c r="D17" s="469"/>
      <c r="E17" s="470"/>
      <c r="F17" s="470"/>
      <c r="G17" s="471"/>
      <c r="H17" s="89" t="s">
        <v>55</v>
      </c>
      <c r="I17" s="90">
        <f ca="1">TODAY()</f>
        <v>42251</v>
      </c>
      <c r="J17" s="91" t="s">
        <v>56</v>
      </c>
      <c r="K17" s="92"/>
      <c r="L17" s="93" t="s">
        <v>83</v>
      </c>
      <c r="M17" s="94"/>
      <c r="N17" s="95" t="s">
        <v>58</v>
      </c>
      <c r="O17" s="96">
        <v>1</v>
      </c>
      <c r="P17" s="28"/>
    </row>
    <row r="18" spans="2:16" x14ac:dyDescent="0.25">
      <c r="B18" s="5"/>
      <c r="C18" s="6"/>
      <c r="D18" s="6"/>
      <c r="E18" s="6"/>
      <c r="F18" s="6"/>
      <c r="G18" s="6"/>
      <c r="H18" s="6"/>
      <c r="I18" s="6"/>
      <c r="J18" s="6"/>
      <c r="K18" s="6"/>
      <c r="L18" s="6"/>
      <c r="M18" s="6"/>
      <c r="N18" s="6"/>
      <c r="O18" s="6"/>
      <c r="P18" s="28"/>
    </row>
    <row r="19" spans="2:16" x14ac:dyDescent="0.25">
      <c r="B19" s="5"/>
      <c r="C19" s="6" t="s">
        <v>84</v>
      </c>
      <c r="D19" s="6"/>
      <c r="E19" s="6"/>
      <c r="F19" s="6"/>
      <c r="G19" s="6"/>
      <c r="H19" s="6"/>
      <c r="I19" s="6"/>
      <c r="J19" s="6"/>
      <c r="K19" s="6"/>
      <c r="L19" s="6"/>
      <c r="M19" s="6"/>
      <c r="N19" s="6"/>
      <c r="O19" s="6"/>
      <c r="P19" s="28"/>
    </row>
    <row r="20" spans="2:16" x14ac:dyDescent="0.25">
      <c r="B20" s="5"/>
      <c r="C20" s="474" t="s">
        <v>85</v>
      </c>
      <c r="D20" s="475"/>
      <c r="E20" s="476"/>
      <c r="F20" s="480" t="s">
        <v>86</v>
      </c>
      <c r="G20" s="481"/>
      <c r="H20" s="481"/>
      <c r="I20" s="481"/>
      <c r="J20" s="481"/>
      <c r="K20" s="481"/>
      <c r="L20" s="481"/>
      <c r="M20" s="481"/>
      <c r="N20" s="481"/>
      <c r="O20" s="482"/>
      <c r="P20" s="28"/>
    </row>
    <row r="21" spans="2:16" x14ac:dyDescent="0.25">
      <c r="B21" s="5"/>
      <c r="C21" s="477"/>
      <c r="D21" s="478"/>
      <c r="E21" s="479"/>
      <c r="F21" s="483"/>
      <c r="G21" s="484"/>
      <c r="H21" s="484"/>
      <c r="I21" s="484"/>
      <c r="J21" s="484"/>
      <c r="K21" s="484"/>
      <c r="L21" s="484"/>
      <c r="M21" s="484"/>
      <c r="N21" s="484"/>
      <c r="O21" s="485"/>
      <c r="P21" s="28"/>
    </row>
    <row r="22" spans="2:16" x14ac:dyDescent="0.25">
      <c r="B22" s="5"/>
      <c r="C22" s="457" t="s">
        <v>59</v>
      </c>
      <c r="D22" s="458"/>
      <c r="E22" s="459"/>
      <c r="F22" s="463" t="s">
        <v>87</v>
      </c>
      <c r="G22" s="464"/>
      <c r="H22" s="464"/>
      <c r="I22" s="464"/>
      <c r="J22" s="464"/>
      <c r="K22" s="464"/>
      <c r="L22" s="464"/>
      <c r="M22" s="464"/>
      <c r="N22" s="464"/>
      <c r="O22" s="465"/>
      <c r="P22" s="28"/>
    </row>
    <row r="23" spans="2:16" x14ac:dyDescent="0.25">
      <c r="B23" s="5"/>
      <c r="C23" s="460"/>
      <c r="D23" s="461"/>
      <c r="E23" s="462"/>
      <c r="F23" s="466"/>
      <c r="G23" s="467"/>
      <c r="H23" s="467"/>
      <c r="I23" s="467"/>
      <c r="J23" s="467"/>
      <c r="K23" s="467"/>
      <c r="L23" s="467"/>
      <c r="M23" s="467"/>
      <c r="N23" s="467"/>
      <c r="O23" s="468"/>
      <c r="P23" s="28"/>
    </row>
    <row r="24" spans="2:16" x14ac:dyDescent="0.25">
      <c r="B24" s="5"/>
      <c r="C24" s="486" t="s">
        <v>88</v>
      </c>
      <c r="D24" s="487"/>
      <c r="E24" s="488"/>
      <c r="F24" s="463" t="s">
        <v>89</v>
      </c>
      <c r="G24" s="464"/>
      <c r="H24" s="464"/>
      <c r="I24" s="464"/>
      <c r="J24" s="464"/>
      <c r="K24" s="464"/>
      <c r="L24" s="464"/>
      <c r="M24" s="464"/>
      <c r="N24" s="464"/>
      <c r="O24" s="465"/>
      <c r="P24" s="28"/>
    </row>
    <row r="25" spans="2:16" x14ac:dyDescent="0.25">
      <c r="B25" s="5"/>
      <c r="C25" s="489"/>
      <c r="D25" s="490"/>
      <c r="E25" s="491"/>
      <c r="F25" s="466"/>
      <c r="G25" s="467"/>
      <c r="H25" s="467"/>
      <c r="I25" s="467"/>
      <c r="J25" s="467"/>
      <c r="K25" s="467"/>
      <c r="L25" s="467"/>
      <c r="M25" s="467"/>
      <c r="N25" s="467"/>
      <c r="O25" s="468"/>
      <c r="P25" s="28"/>
    </row>
    <row r="26" spans="2:16" x14ac:dyDescent="0.25">
      <c r="B26" s="5"/>
      <c r="C26" s="474" t="s">
        <v>90</v>
      </c>
      <c r="D26" s="458"/>
      <c r="E26" s="459"/>
      <c r="F26" s="463" t="s">
        <v>91</v>
      </c>
      <c r="G26" s="464"/>
      <c r="H26" s="464"/>
      <c r="I26" s="464"/>
      <c r="J26" s="464"/>
      <c r="K26" s="464"/>
      <c r="L26" s="464"/>
      <c r="M26" s="464"/>
      <c r="N26" s="464"/>
      <c r="O26" s="465"/>
      <c r="P26" s="28"/>
    </row>
    <row r="27" spans="2:16" x14ac:dyDescent="0.25">
      <c r="B27" s="5"/>
      <c r="C27" s="460"/>
      <c r="D27" s="461"/>
      <c r="E27" s="462"/>
      <c r="F27" s="466"/>
      <c r="G27" s="467"/>
      <c r="H27" s="467"/>
      <c r="I27" s="467"/>
      <c r="J27" s="467"/>
      <c r="K27" s="467"/>
      <c r="L27" s="467"/>
      <c r="M27" s="467"/>
      <c r="N27" s="467"/>
      <c r="O27" s="468"/>
      <c r="P27" s="28"/>
    </row>
    <row r="28" spans="2:16" x14ac:dyDescent="0.25">
      <c r="B28" s="5"/>
      <c r="C28" s="486" t="s">
        <v>92</v>
      </c>
      <c r="D28" s="487"/>
      <c r="E28" s="488"/>
      <c r="F28" s="463" t="s">
        <v>93</v>
      </c>
      <c r="G28" s="464"/>
      <c r="H28" s="464"/>
      <c r="I28" s="464"/>
      <c r="J28" s="464"/>
      <c r="K28" s="464"/>
      <c r="L28" s="464"/>
      <c r="M28" s="464"/>
      <c r="N28" s="464"/>
      <c r="O28" s="465"/>
      <c r="P28" s="28"/>
    </row>
    <row r="29" spans="2:16" x14ac:dyDescent="0.25">
      <c r="B29" s="5"/>
      <c r="C29" s="489"/>
      <c r="D29" s="490"/>
      <c r="E29" s="491"/>
      <c r="F29" s="466"/>
      <c r="G29" s="467"/>
      <c r="H29" s="467"/>
      <c r="I29" s="467"/>
      <c r="J29" s="467"/>
      <c r="K29" s="467"/>
      <c r="L29" s="467"/>
      <c r="M29" s="467"/>
      <c r="N29" s="467"/>
      <c r="O29" s="468"/>
      <c r="P29" s="28"/>
    </row>
    <row r="30" spans="2:16" x14ac:dyDescent="0.25">
      <c r="B30" s="5"/>
      <c r="C30" s="474" t="s">
        <v>94</v>
      </c>
      <c r="D30" s="458"/>
      <c r="E30" s="459"/>
      <c r="F30" s="463" t="s">
        <v>95</v>
      </c>
      <c r="G30" s="464"/>
      <c r="H30" s="464"/>
      <c r="I30" s="464"/>
      <c r="J30" s="464"/>
      <c r="K30" s="464"/>
      <c r="L30" s="464"/>
      <c r="M30" s="464"/>
      <c r="N30" s="464"/>
      <c r="O30" s="465"/>
      <c r="P30" s="28"/>
    </row>
    <row r="31" spans="2:16" x14ac:dyDescent="0.25">
      <c r="B31" s="5"/>
      <c r="C31" s="460"/>
      <c r="D31" s="461"/>
      <c r="E31" s="462"/>
      <c r="F31" s="466"/>
      <c r="G31" s="467"/>
      <c r="H31" s="467"/>
      <c r="I31" s="467"/>
      <c r="J31" s="467"/>
      <c r="K31" s="467"/>
      <c r="L31" s="467"/>
      <c r="M31" s="467"/>
      <c r="N31" s="467"/>
      <c r="O31" s="468"/>
      <c r="P31" s="28"/>
    </row>
    <row r="32" spans="2:16" x14ac:dyDescent="0.25">
      <c r="B32" s="5"/>
      <c r="C32" s="6"/>
      <c r="D32" s="6"/>
      <c r="E32" s="6"/>
      <c r="F32" s="6"/>
      <c r="G32" s="6"/>
      <c r="H32" s="6"/>
      <c r="I32" s="6"/>
      <c r="J32" s="6"/>
      <c r="K32" s="6"/>
      <c r="L32" s="6"/>
      <c r="M32" s="6"/>
      <c r="N32" s="6"/>
      <c r="O32" s="6"/>
      <c r="P32" s="28"/>
    </row>
    <row r="33" spans="2:16" x14ac:dyDescent="0.25">
      <c r="B33" s="5"/>
      <c r="C33" s="6"/>
      <c r="D33" s="6"/>
      <c r="E33" s="6"/>
      <c r="F33" s="6"/>
      <c r="G33" s="6"/>
      <c r="H33" s="6"/>
      <c r="I33" s="6"/>
      <c r="J33" s="6"/>
      <c r="K33" s="6"/>
      <c r="L33" s="6"/>
      <c r="M33" s="6"/>
      <c r="N33" s="6"/>
      <c r="O33" s="6"/>
      <c r="P33" s="28"/>
    </row>
    <row r="34" spans="2:16" x14ac:dyDescent="0.25">
      <c r="B34" s="5"/>
      <c r="C34" s="6"/>
      <c r="D34" s="6"/>
      <c r="E34" s="6"/>
      <c r="F34" s="6"/>
      <c r="G34" s="6"/>
      <c r="H34" s="6"/>
      <c r="I34" s="6"/>
      <c r="J34" s="6"/>
      <c r="K34" s="6"/>
      <c r="L34" s="6"/>
      <c r="M34" s="6"/>
      <c r="N34" s="6"/>
      <c r="O34" s="6"/>
      <c r="P34" s="28"/>
    </row>
    <row r="35" spans="2:16" x14ac:dyDescent="0.25">
      <c r="B35" s="5"/>
      <c r="C35" s="6"/>
      <c r="D35" s="6"/>
      <c r="E35" s="6"/>
      <c r="F35" s="6"/>
      <c r="G35" s="6"/>
      <c r="H35" s="6"/>
      <c r="I35" s="6"/>
      <c r="J35" s="6"/>
      <c r="K35" s="6"/>
      <c r="L35" s="6"/>
      <c r="M35" s="6"/>
      <c r="N35" s="6"/>
      <c r="O35" s="6"/>
      <c r="P35" s="28"/>
    </row>
    <row r="36" spans="2:16" x14ac:dyDescent="0.25">
      <c r="B36" s="5"/>
      <c r="C36" s="6"/>
      <c r="D36" s="6"/>
      <c r="E36" s="6"/>
      <c r="F36" s="6"/>
      <c r="G36" s="6"/>
      <c r="H36" s="6"/>
      <c r="I36" s="6"/>
      <c r="J36" s="6"/>
      <c r="K36" s="6"/>
      <c r="L36" s="6"/>
      <c r="M36" s="6"/>
      <c r="N36" s="6"/>
      <c r="O36" s="6"/>
      <c r="P36" s="28"/>
    </row>
    <row r="37" spans="2:16" x14ac:dyDescent="0.25">
      <c r="B37" s="5"/>
      <c r="C37" s="6"/>
      <c r="D37" s="6"/>
      <c r="E37" s="6"/>
      <c r="F37" s="6"/>
      <c r="G37" s="6"/>
      <c r="H37" s="6"/>
      <c r="I37" s="6"/>
      <c r="J37" s="6"/>
      <c r="K37" s="6"/>
      <c r="L37" s="6"/>
      <c r="M37" s="6"/>
      <c r="N37" s="6"/>
      <c r="O37" s="6"/>
      <c r="P37" s="28"/>
    </row>
    <row r="38" spans="2:16" x14ac:dyDescent="0.25">
      <c r="B38" s="5"/>
      <c r="C38" s="6"/>
      <c r="D38" s="6"/>
      <c r="E38" s="6"/>
      <c r="F38" s="6"/>
      <c r="G38" s="6"/>
      <c r="H38" s="6"/>
      <c r="I38" s="6"/>
      <c r="J38" s="6"/>
      <c r="K38" s="6"/>
      <c r="L38" s="6"/>
      <c r="M38" s="6"/>
      <c r="N38" s="6"/>
      <c r="O38" s="6"/>
      <c r="P38" s="28"/>
    </row>
    <row r="39" spans="2:16" x14ac:dyDescent="0.25">
      <c r="B39" s="5"/>
      <c r="C39" s="6"/>
      <c r="D39" s="6"/>
      <c r="E39" s="6"/>
      <c r="F39" s="6"/>
      <c r="G39" s="6"/>
      <c r="H39" s="6"/>
      <c r="I39" s="6"/>
      <c r="J39" s="6"/>
      <c r="K39" s="6"/>
      <c r="L39" s="6"/>
      <c r="M39" s="6"/>
      <c r="N39" s="6"/>
      <c r="O39" s="6"/>
      <c r="P39" s="28"/>
    </row>
    <row r="40" spans="2:16" x14ac:dyDescent="0.25">
      <c r="B40" s="5"/>
      <c r="C40" s="6"/>
      <c r="D40" s="6"/>
      <c r="E40" s="6"/>
      <c r="F40" s="6"/>
      <c r="G40" s="6"/>
      <c r="H40" s="6"/>
      <c r="I40" s="6"/>
      <c r="J40" s="6"/>
      <c r="K40" s="6"/>
      <c r="L40" s="6"/>
      <c r="M40" s="6"/>
      <c r="N40" s="6"/>
      <c r="O40" s="6"/>
      <c r="P40" s="28"/>
    </row>
    <row r="41" spans="2:16" x14ac:dyDescent="0.25">
      <c r="B41" s="5"/>
      <c r="C41" s="6"/>
      <c r="D41" s="6"/>
      <c r="E41" s="6"/>
      <c r="F41" s="6"/>
      <c r="G41" s="6"/>
      <c r="H41" s="6"/>
      <c r="I41" s="6"/>
      <c r="J41" s="6"/>
      <c r="K41" s="6"/>
      <c r="L41" s="6"/>
      <c r="M41" s="6"/>
      <c r="N41" s="6"/>
      <c r="O41" s="6"/>
      <c r="P41" s="28"/>
    </row>
    <row r="42" spans="2:16" x14ac:dyDescent="0.25">
      <c r="B42" s="5"/>
      <c r="C42" s="6"/>
      <c r="D42" s="6"/>
      <c r="E42" s="6"/>
      <c r="F42" s="6"/>
      <c r="G42" s="6"/>
      <c r="H42" s="6"/>
      <c r="I42" s="6"/>
      <c r="J42" s="6"/>
      <c r="K42" s="6"/>
      <c r="L42" s="6"/>
      <c r="M42" s="6"/>
      <c r="N42" s="6"/>
      <c r="O42" s="6"/>
      <c r="P42" s="28"/>
    </row>
    <row r="43" spans="2:16" x14ac:dyDescent="0.25">
      <c r="B43" s="5"/>
      <c r="C43" s="6"/>
      <c r="D43" s="6"/>
      <c r="E43" s="6"/>
      <c r="F43" s="6"/>
      <c r="G43" s="6"/>
      <c r="H43" s="6"/>
      <c r="I43" s="6"/>
      <c r="J43" s="6"/>
      <c r="K43" s="6"/>
      <c r="L43" s="6"/>
      <c r="M43" s="6"/>
      <c r="N43" s="6"/>
      <c r="O43" s="6"/>
      <c r="P43" s="28"/>
    </row>
    <row r="44" spans="2:16" x14ac:dyDescent="0.25">
      <c r="B44" s="5"/>
      <c r="C44" s="6"/>
      <c r="D44" s="6"/>
      <c r="E44" s="6"/>
      <c r="F44" s="6"/>
      <c r="G44" s="6"/>
      <c r="H44" s="6"/>
      <c r="I44" s="6"/>
      <c r="J44" s="6"/>
      <c r="K44" s="6"/>
      <c r="L44" s="6"/>
      <c r="M44" s="6"/>
      <c r="N44" s="6"/>
      <c r="O44" s="6"/>
      <c r="P44" s="28"/>
    </row>
    <row r="45" spans="2:16" x14ac:dyDescent="0.25">
      <c r="B45" s="5"/>
      <c r="C45" s="6"/>
      <c r="D45" s="6"/>
      <c r="E45" s="6"/>
      <c r="F45" s="6"/>
      <c r="G45" s="6"/>
      <c r="H45" s="6"/>
      <c r="I45" s="6"/>
      <c r="J45" s="6"/>
      <c r="K45" s="6"/>
      <c r="L45" s="6"/>
      <c r="M45" s="6"/>
      <c r="N45" s="6"/>
      <c r="O45" s="6"/>
      <c r="P45" s="28"/>
    </row>
    <row r="46" spans="2:16" x14ac:dyDescent="0.25">
      <c r="B46" s="5"/>
      <c r="C46" s="6"/>
      <c r="D46" s="6"/>
      <c r="E46" s="6"/>
      <c r="F46" s="6"/>
      <c r="G46" s="6"/>
      <c r="H46" s="6"/>
      <c r="I46" s="6"/>
      <c r="J46" s="6"/>
      <c r="K46" s="6"/>
      <c r="L46" s="6"/>
      <c r="M46" s="6"/>
      <c r="N46" s="6"/>
      <c r="O46" s="6"/>
      <c r="P46" s="28"/>
    </row>
    <row r="47" spans="2:16" x14ac:dyDescent="0.25">
      <c r="B47" s="5"/>
      <c r="C47" s="6"/>
      <c r="D47" s="6"/>
      <c r="E47" s="6"/>
      <c r="F47" s="6"/>
      <c r="G47" s="6"/>
      <c r="H47" s="6"/>
      <c r="I47" s="6"/>
      <c r="J47" s="6"/>
      <c r="K47" s="6"/>
      <c r="L47" s="6"/>
      <c r="M47" s="6"/>
      <c r="N47" s="6"/>
      <c r="O47" s="6"/>
      <c r="P47" s="28"/>
    </row>
    <row r="48" spans="2:16" x14ac:dyDescent="0.25">
      <c r="B48" s="5"/>
      <c r="C48" s="6"/>
      <c r="D48" s="6"/>
      <c r="E48" s="6"/>
      <c r="F48" s="6"/>
      <c r="G48" s="6"/>
      <c r="H48" s="6"/>
      <c r="I48" s="6"/>
      <c r="J48" s="6"/>
      <c r="K48" s="6"/>
      <c r="L48" s="6"/>
      <c r="M48" s="6"/>
      <c r="N48" s="6"/>
      <c r="O48" s="6"/>
      <c r="P48" s="28"/>
    </row>
    <row r="49" spans="2:16" x14ac:dyDescent="0.25">
      <c r="B49" s="5"/>
      <c r="C49" s="6"/>
      <c r="D49" s="6"/>
      <c r="E49" s="6"/>
      <c r="F49" s="6"/>
      <c r="G49" s="6"/>
      <c r="H49" s="6"/>
      <c r="I49" s="6"/>
      <c r="J49" s="6"/>
      <c r="K49" s="6"/>
      <c r="L49" s="6"/>
      <c r="M49" s="6"/>
      <c r="N49" s="6"/>
      <c r="O49" s="6"/>
      <c r="P49" s="28"/>
    </row>
    <row r="50" spans="2:16" x14ac:dyDescent="0.25">
      <c r="B50" s="5"/>
      <c r="C50" s="6"/>
      <c r="D50" s="6"/>
      <c r="E50" s="6"/>
      <c r="F50" s="6"/>
      <c r="G50" s="6"/>
      <c r="H50" s="6"/>
      <c r="I50" s="6"/>
      <c r="J50" s="6"/>
      <c r="K50" s="6"/>
      <c r="L50" s="6"/>
      <c r="M50" s="6"/>
      <c r="N50" s="6"/>
      <c r="O50" s="6"/>
      <c r="P50" s="28"/>
    </row>
    <row r="51" spans="2:16" x14ac:dyDescent="0.25">
      <c r="B51" s="5"/>
      <c r="C51" s="6"/>
      <c r="D51" s="6"/>
      <c r="E51" s="6"/>
      <c r="F51" s="6"/>
      <c r="G51" s="6"/>
      <c r="H51" s="6"/>
      <c r="I51" s="6"/>
      <c r="J51" s="6"/>
      <c r="K51" s="6"/>
      <c r="L51" s="6"/>
      <c r="M51" s="6"/>
      <c r="N51" s="6"/>
      <c r="O51" s="6"/>
      <c r="P51" s="28"/>
    </row>
    <row r="52" spans="2:16" x14ac:dyDescent="0.25">
      <c r="B52" s="5"/>
      <c r="C52" s="6"/>
      <c r="D52" s="6"/>
      <c r="E52" s="6"/>
      <c r="F52" s="6"/>
      <c r="G52" s="6"/>
      <c r="H52" s="6"/>
      <c r="I52" s="6"/>
      <c r="J52" s="6"/>
      <c r="K52" s="6"/>
      <c r="L52" s="6"/>
      <c r="M52" s="6"/>
      <c r="N52" s="6"/>
      <c r="O52" s="6"/>
      <c r="P52" s="28"/>
    </row>
    <row r="53" spans="2:16" x14ac:dyDescent="0.25">
      <c r="B53" s="5"/>
      <c r="C53" s="6"/>
      <c r="D53" s="6"/>
      <c r="E53" s="6"/>
      <c r="F53" s="6"/>
      <c r="G53" s="6"/>
      <c r="H53" s="6"/>
      <c r="I53" s="6"/>
      <c r="J53" s="6"/>
      <c r="K53" s="6"/>
      <c r="L53" s="6"/>
      <c r="M53" s="6"/>
      <c r="N53" s="6"/>
      <c r="O53" s="6"/>
      <c r="P53" s="28"/>
    </row>
    <row r="54" spans="2:16" x14ac:dyDescent="0.25">
      <c r="B54" s="5"/>
      <c r="C54" s="6"/>
      <c r="D54" s="6"/>
      <c r="E54" s="6"/>
      <c r="F54" s="6"/>
      <c r="G54" s="6"/>
      <c r="H54" s="6"/>
      <c r="I54" s="6"/>
      <c r="J54" s="6"/>
      <c r="K54" s="6"/>
      <c r="L54" s="6"/>
      <c r="M54" s="6"/>
      <c r="N54" s="6"/>
      <c r="O54" s="6"/>
      <c r="P54" s="28"/>
    </row>
    <row r="55" spans="2:16" x14ac:dyDescent="0.25">
      <c r="B55" s="5"/>
      <c r="C55" s="6"/>
      <c r="D55" s="6"/>
      <c r="E55" s="6"/>
      <c r="F55" s="6"/>
      <c r="G55" s="6"/>
      <c r="H55" s="6"/>
      <c r="I55" s="6"/>
      <c r="J55" s="6"/>
      <c r="K55" s="6"/>
      <c r="L55" s="6"/>
      <c r="M55" s="6"/>
      <c r="N55" s="6"/>
      <c r="O55" s="6"/>
      <c r="P55" s="28"/>
    </row>
    <row r="56" spans="2:16" x14ac:dyDescent="0.25">
      <c r="B56" s="5"/>
      <c r="C56" s="6"/>
      <c r="D56" s="6"/>
      <c r="E56" s="6"/>
      <c r="F56" s="6"/>
      <c r="G56" s="6"/>
      <c r="H56" s="6"/>
      <c r="I56" s="6"/>
      <c r="J56" s="6"/>
      <c r="K56" s="6"/>
      <c r="L56" s="6"/>
      <c r="M56" s="6"/>
      <c r="N56" s="6"/>
      <c r="O56" s="6"/>
      <c r="P56" s="28"/>
    </row>
    <row r="57" spans="2:16" x14ac:dyDescent="0.25">
      <c r="B57" s="5"/>
      <c r="C57" s="6"/>
      <c r="D57" s="6"/>
      <c r="E57" s="6"/>
      <c r="F57" s="6"/>
      <c r="G57" s="6"/>
      <c r="H57" s="6"/>
      <c r="I57" s="6"/>
      <c r="J57" s="6"/>
      <c r="K57" s="6"/>
      <c r="L57" s="6"/>
      <c r="M57" s="6"/>
      <c r="N57" s="6"/>
      <c r="O57" s="6"/>
      <c r="P57" s="28"/>
    </row>
    <row r="58" spans="2:16" x14ac:dyDescent="0.25">
      <c r="B58" s="5"/>
      <c r="C58" s="6"/>
      <c r="D58" s="6"/>
      <c r="E58" s="6"/>
      <c r="F58" s="6"/>
      <c r="G58" s="6"/>
      <c r="H58" s="6"/>
      <c r="I58" s="6"/>
      <c r="J58" s="6"/>
      <c r="K58" s="6"/>
      <c r="L58" s="6"/>
      <c r="M58" s="6"/>
      <c r="N58" s="6"/>
      <c r="O58" s="6"/>
      <c r="P58" s="28"/>
    </row>
    <row r="59" spans="2:16" x14ac:dyDescent="0.25">
      <c r="B59" s="5"/>
      <c r="C59" s="6"/>
      <c r="D59" s="6"/>
      <c r="E59" s="6"/>
      <c r="F59" s="6"/>
      <c r="G59" s="6"/>
      <c r="H59" s="6"/>
      <c r="I59" s="6"/>
      <c r="J59" s="6"/>
      <c r="K59" s="6"/>
      <c r="L59" s="6"/>
      <c r="M59" s="6"/>
      <c r="N59" s="6"/>
      <c r="O59" s="6"/>
      <c r="P59" s="28"/>
    </row>
    <row r="60" spans="2:16" x14ac:dyDescent="0.25">
      <c r="B60" s="5"/>
      <c r="C60" s="6"/>
      <c r="D60" s="6"/>
      <c r="E60" s="6"/>
      <c r="F60" s="6"/>
      <c r="G60" s="6"/>
      <c r="H60" s="6"/>
      <c r="I60" s="6"/>
      <c r="J60" s="6"/>
      <c r="K60" s="6"/>
      <c r="L60" s="6"/>
      <c r="M60" s="6"/>
      <c r="N60" s="6"/>
      <c r="O60" s="6"/>
      <c r="P60" s="28"/>
    </row>
    <row r="61" spans="2:16" x14ac:dyDescent="0.25">
      <c r="B61" s="5"/>
      <c r="C61" s="6"/>
      <c r="D61" s="6"/>
      <c r="E61" s="6"/>
      <c r="F61" s="6"/>
      <c r="G61" s="6"/>
      <c r="H61" s="6"/>
      <c r="I61" s="6"/>
      <c r="J61" s="6"/>
      <c r="K61" s="6"/>
      <c r="L61" s="6"/>
      <c r="M61" s="6"/>
      <c r="N61" s="6"/>
      <c r="O61" s="6"/>
      <c r="P61" s="28"/>
    </row>
    <row r="62" spans="2:16" x14ac:dyDescent="0.25">
      <c r="B62" s="5"/>
      <c r="C62" s="6"/>
      <c r="D62" s="6"/>
      <c r="E62" s="6"/>
      <c r="F62" s="6"/>
      <c r="G62" s="6"/>
      <c r="H62" s="6"/>
      <c r="I62" s="6"/>
      <c r="J62" s="6"/>
      <c r="K62" s="6"/>
      <c r="L62" s="6"/>
      <c r="M62" s="6"/>
      <c r="N62" s="6"/>
      <c r="O62" s="6"/>
      <c r="P62" s="28"/>
    </row>
    <row r="63" spans="2:16" x14ac:dyDescent="0.25">
      <c r="B63" s="5"/>
      <c r="C63" s="6"/>
      <c r="D63" s="6"/>
      <c r="E63" s="6"/>
      <c r="F63" s="6"/>
      <c r="G63" s="6"/>
      <c r="H63" s="6"/>
      <c r="I63" s="6"/>
      <c r="J63" s="6"/>
      <c r="K63" s="6"/>
      <c r="L63" s="6"/>
      <c r="M63" s="6"/>
      <c r="N63" s="6"/>
      <c r="O63" s="6"/>
      <c r="P63" s="28"/>
    </row>
    <row r="64" spans="2:16" x14ac:dyDescent="0.25">
      <c r="B64" s="5"/>
      <c r="C64" s="6"/>
      <c r="D64" s="6"/>
      <c r="E64" s="6"/>
      <c r="F64" s="6"/>
      <c r="G64" s="6"/>
      <c r="H64" s="6"/>
      <c r="I64" s="6"/>
      <c r="J64" s="6"/>
      <c r="K64" s="6"/>
      <c r="L64" s="6"/>
      <c r="M64" s="6"/>
      <c r="N64" s="6"/>
      <c r="O64" s="6"/>
      <c r="P64" s="28"/>
    </row>
    <row r="65" spans="2:16" x14ac:dyDescent="0.25">
      <c r="B65" s="5"/>
      <c r="C65" s="6"/>
      <c r="D65" s="6"/>
      <c r="E65" s="6"/>
      <c r="F65" s="6"/>
      <c r="G65" s="6"/>
      <c r="H65" s="6"/>
      <c r="I65" s="6"/>
      <c r="J65" s="6"/>
      <c r="K65" s="6"/>
      <c r="L65" s="6"/>
      <c r="M65" s="6"/>
      <c r="N65" s="6"/>
      <c r="O65" s="6"/>
      <c r="P65" s="28"/>
    </row>
    <row r="66" spans="2:16" x14ac:dyDescent="0.25">
      <c r="B66" s="5"/>
      <c r="C66" s="6"/>
      <c r="D66" s="6"/>
      <c r="E66" s="6"/>
      <c r="F66" s="6"/>
      <c r="G66" s="6"/>
      <c r="H66" s="6"/>
      <c r="I66" s="6"/>
      <c r="J66" s="6"/>
      <c r="K66" s="6"/>
      <c r="L66" s="6"/>
      <c r="M66" s="6"/>
      <c r="N66" s="6"/>
      <c r="O66" s="6"/>
      <c r="P66" s="28"/>
    </row>
    <row r="67" spans="2:16" x14ac:dyDescent="0.25">
      <c r="B67" s="5"/>
      <c r="C67" s="6"/>
      <c r="D67" s="6"/>
      <c r="E67" s="6"/>
      <c r="F67" s="6"/>
      <c r="G67" s="6"/>
      <c r="H67" s="6"/>
      <c r="I67" s="6"/>
      <c r="J67" s="6"/>
      <c r="K67" s="6"/>
      <c r="L67" s="6"/>
      <c r="M67" s="6"/>
      <c r="N67" s="6"/>
      <c r="O67" s="6"/>
      <c r="P67" s="28"/>
    </row>
    <row r="68" spans="2:16" x14ac:dyDescent="0.25">
      <c r="B68" s="5"/>
      <c r="C68" s="6"/>
      <c r="D68" s="6"/>
      <c r="E68" s="6"/>
      <c r="F68" s="6"/>
      <c r="G68" s="6"/>
      <c r="H68" s="6"/>
      <c r="I68" s="6"/>
      <c r="J68" s="6"/>
      <c r="K68" s="6"/>
      <c r="L68" s="6"/>
      <c r="M68" s="6"/>
      <c r="N68" s="6"/>
      <c r="O68" s="6"/>
      <c r="P68" s="28"/>
    </row>
    <row r="69" spans="2:16" x14ac:dyDescent="0.25">
      <c r="B69" s="5"/>
      <c r="C69" s="6"/>
      <c r="D69" s="6"/>
      <c r="E69" s="6"/>
      <c r="F69" s="6"/>
      <c r="G69" s="6"/>
      <c r="H69" s="6"/>
      <c r="I69" s="6"/>
      <c r="J69" s="6"/>
      <c r="K69" s="6"/>
      <c r="L69" s="6"/>
      <c r="M69" s="6"/>
      <c r="N69" s="6"/>
      <c r="O69" s="6"/>
      <c r="P69" s="28"/>
    </row>
    <row r="70" spans="2:16" x14ac:dyDescent="0.25">
      <c r="B70" s="5"/>
      <c r="C70" s="6"/>
      <c r="D70" s="6"/>
      <c r="E70" s="6"/>
      <c r="F70" s="6"/>
      <c r="G70" s="6"/>
      <c r="H70" s="6"/>
      <c r="I70" s="6"/>
      <c r="J70" s="6"/>
      <c r="K70" s="6"/>
      <c r="L70" s="6"/>
      <c r="M70" s="6"/>
      <c r="N70" s="6"/>
      <c r="O70" s="6"/>
      <c r="P70" s="28"/>
    </row>
    <row r="71" spans="2:16" x14ac:dyDescent="0.25">
      <c r="B71" s="5"/>
      <c r="C71" s="6"/>
      <c r="D71" s="6"/>
      <c r="E71" s="6"/>
      <c r="F71" s="6"/>
      <c r="G71" s="6"/>
      <c r="H71" s="6"/>
      <c r="I71" s="6"/>
      <c r="J71" s="6"/>
      <c r="K71" s="6"/>
      <c r="L71" s="6"/>
      <c r="M71" s="6"/>
      <c r="N71" s="6"/>
      <c r="O71" s="6"/>
      <c r="P71" s="28"/>
    </row>
    <row r="72" spans="2:16" x14ac:dyDescent="0.25">
      <c r="B72" s="5"/>
      <c r="C72" s="6"/>
      <c r="D72" s="6"/>
      <c r="E72" s="6"/>
      <c r="F72" s="6"/>
      <c r="G72" s="6"/>
      <c r="H72" s="6"/>
      <c r="I72" s="6"/>
      <c r="J72" s="6"/>
      <c r="K72" s="6"/>
      <c r="L72" s="6"/>
      <c r="M72" s="6"/>
      <c r="N72" s="6"/>
      <c r="O72" s="6"/>
      <c r="P72" s="28"/>
    </row>
    <row r="73" spans="2:16" x14ac:dyDescent="0.25">
      <c r="B73" s="5"/>
      <c r="C73" s="6"/>
      <c r="D73" s="6"/>
      <c r="E73" s="6"/>
      <c r="F73" s="6"/>
      <c r="G73" s="6"/>
      <c r="H73" s="6"/>
      <c r="I73" s="6"/>
      <c r="J73" s="6"/>
      <c r="K73" s="6"/>
      <c r="L73" s="6"/>
      <c r="M73" s="6"/>
      <c r="N73" s="6"/>
      <c r="O73" s="6"/>
      <c r="P73" s="28"/>
    </row>
    <row r="74" spans="2:16" x14ac:dyDescent="0.25">
      <c r="B74" s="5"/>
      <c r="C74" s="6"/>
      <c r="D74" s="6"/>
      <c r="E74" s="6"/>
      <c r="F74" s="6"/>
      <c r="G74" s="6"/>
      <c r="H74" s="6"/>
      <c r="I74" s="6"/>
      <c r="J74" s="6"/>
      <c r="K74" s="6"/>
      <c r="L74" s="6"/>
      <c r="M74" s="6"/>
      <c r="N74" s="6"/>
      <c r="O74" s="6"/>
      <c r="P74" s="28"/>
    </row>
    <row r="75" spans="2:16" x14ac:dyDescent="0.25">
      <c r="B75" s="5"/>
      <c r="C75" s="6"/>
      <c r="D75" s="6"/>
      <c r="E75" s="6"/>
      <c r="F75" s="6"/>
      <c r="G75" s="6"/>
      <c r="H75" s="6"/>
      <c r="I75" s="6"/>
      <c r="J75" s="6"/>
      <c r="K75" s="6"/>
      <c r="L75" s="6"/>
      <c r="M75" s="6"/>
      <c r="N75" s="6"/>
      <c r="O75" s="6"/>
      <c r="P75" s="28"/>
    </row>
    <row r="76" spans="2:16" x14ac:dyDescent="0.25">
      <c r="B76" s="72"/>
      <c r="C76" s="73"/>
      <c r="D76" s="73"/>
      <c r="E76" s="73"/>
      <c r="F76" s="73"/>
      <c r="G76" s="73"/>
      <c r="H76" s="73"/>
      <c r="I76" s="73"/>
      <c r="J76" s="73"/>
      <c r="K76" s="73"/>
      <c r="L76" s="73"/>
      <c r="M76" s="73"/>
      <c r="N76" s="73"/>
      <c r="O76" s="73"/>
      <c r="P76" s="97"/>
    </row>
  </sheetData>
  <sheetProtection algorithmName="SHA-512" hashValue="6Kx1dtAONlHNfzPKT71PvA2pm35Aoqg3VU0YHgIyOJxdHvKGdCsIkjN5AR3OGdyGGwXQmaq1qdSBVXdYXsgkWw==" saltValue="eEIwVBggqq0FJvtr62bVhg==" spinCount="100000" sheet="1" objects="1" scenarios="1"/>
  <mergeCells count="15">
    <mergeCell ref="C30:E31"/>
    <mergeCell ref="F30:O31"/>
    <mergeCell ref="C24:E25"/>
    <mergeCell ref="F24:O25"/>
    <mergeCell ref="C26:E27"/>
    <mergeCell ref="F26:O27"/>
    <mergeCell ref="C28:E29"/>
    <mergeCell ref="F28:O29"/>
    <mergeCell ref="C22:E23"/>
    <mergeCell ref="F22:O23"/>
    <mergeCell ref="D16:G16"/>
    <mergeCell ref="K16:M16"/>
    <mergeCell ref="D17:G17"/>
    <mergeCell ref="C20:E21"/>
    <mergeCell ref="F20:O21"/>
  </mergeCells>
  <hyperlinks>
    <hyperlink ref="C20" location="'BS6399-2 Standard Method'!A1" display="BS6399-2 Standard Method"/>
    <hyperlink ref="C26" location="'CW Mullion Single Span'!A1" display="'CW Mullion Single Span"/>
    <hyperlink ref="C30" location="'CW Transom'!A1" display="'CW Transom"/>
    <hyperlink ref="C22:E23" location="'4-35 &amp; 5-35 Window Mullion'!A1" display="4-35 &amp; 5-35 Window Mullion"/>
    <hyperlink ref="C24:E25" location="'4-35 &amp; 5-35 Window Transom'!A1" display="4-35 &amp; 5-35 Window Transom"/>
    <hyperlink ref="C28:E29" location="'CW Mullion Twin Span'!A1" display="Double Span Mullion"/>
  </hyperlinks>
  <pageMargins left="0.7" right="0.7" top="0.75" bottom="0.75" header="0.3" footer="0.3"/>
  <pageSetup paperSize="9" orientation="portrait" verticalDpi="597"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2"/>
  <sheetViews>
    <sheetView workbookViewId="0">
      <selection activeCell="G30" sqref="G30"/>
    </sheetView>
  </sheetViews>
  <sheetFormatPr defaultRowHeight="12.75" x14ac:dyDescent="0.2"/>
  <cols>
    <col min="1" max="1" width="31.5703125" style="226" bestFit="1" customWidth="1"/>
    <col min="2" max="2" width="27.42578125" style="226" bestFit="1" customWidth="1"/>
    <col min="3" max="3" width="9.42578125" style="226" bestFit="1" customWidth="1"/>
    <col min="4" max="4" width="2.140625" style="226" bestFit="1" customWidth="1"/>
    <col min="5" max="5" width="5.85546875" style="226" bestFit="1" customWidth="1"/>
    <col min="6" max="6" width="44.28515625" style="226" bestFit="1" customWidth="1"/>
    <col min="7" max="7" width="25.42578125" style="226" bestFit="1" customWidth="1"/>
    <col min="8" max="8" width="9.42578125" style="226" bestFit="1" customWidth="1"/>
    <col min="9" max="9" width="3.85546875" style="226" bestFit="1" customWidth="1"/>
    <col min="10" max="11" width="4.7109375" style="226" customWidth="1"/>
    <col min="12" max="12" width="27.28515625" style="226" bestFit="1" customWidth="1"/>
    <col min="13" max="13" width="4.7109375" style="226" customWidth="1"/>
    <col min="14" max="14" width="3" style="226" bestFit="1" customWidth="1"/>
    <col min="15" max="15" width="4.7109375" style="226" customWidth="1"/>
    <col min="16" max="16" width="16" style="226" bestFit="1" customWidth="1"/>
    <col min="17" max="17" width="4.7109375" style="226" customWidth="1"/>
    <col min="18" max="18" width="3.85546875" style="226" bestFit="1" customWidth="1"/>
    <col min="19" max="27" width="4.7109375" style="226" customWidth="1"/>
    <col min="28" max="16384" width="9.140625" style="226"/>
  </cols>
  <sheetData>
    <row r="1" spans="1:38" ht="13.5" thickBot="1" x14ac:dyDescent="0.25">
      <c r="A1" s="171" t="s">
        <v>142</v>
      </c>
      <c r="B1" s="172"/>
      <c r="C1" s="172"/>
      <c r="D1" s="172"/>
      <c r="E1" s="173"/>
      <c r="F1" s="172"/>
      <c r="G1" s="173"/>
      <c r="H1" s="174" t="s">
        <v>143</v>
      </c>
      <c r="I1" s="175" t="s">
        <v>144</v>
      </c>
      <c r="J1" s="176"/>
      <c r="K1" s="176"/>
      <c r="L1" s="176"/>
      <c r="M1" s="176"/>
      <c r="N1" s="176" t="s">
        <v>145</v>
      </c>
      <c r="O1" s="176"/>
      <c r="P1" s="176"/>
      <c r="Q1" s="176"/>
      <c r="R1" s="177" t="s">
        <v>113</v>
      </c>
      <c r="S1" s="176"/>
      <c r="T1" s="176"/>
      <c r="U1" s="176"/>
      <c r="V1" s="176"/>
      <c r="W1" s="176"/>
      <c r="X1" s="176"/>
      <c r="Y1" s="176"/>
      <c r="Z1" s="176"/>
      <c r="AA1" s="176"/>
      <c r="AB1" s="176"/>
      <c r="AC1" s="176"/>
      <c r="AD1" s="211"/>
      <c r="AE1" s="211"/>
      <c r="AF1" s="211"/>
      <c r="AG1" s="211"/>
      <c r="AH1" s="176"/>
      <c r="AI1" s="176"/>
      <c r="AJ1" s="176"/>
      <c r="AK1" s="176"/>
      <c r="AL1" s="176"/>
    </row>
    <row r="2" spans="1:38" x14ac:dyDescent="0.2">
      <c r="A2" s="176"/>
      <c r="B2" s="176"/>
      <c r="C2" s="176"/>
      <c r="D2" s="176"/>
      <c r="E2" s="176"/>
      <c r="F2" s="176"/>
      <c r="G2" s="176"/>
      <c r="H2" s="176"/>
      <c r="I2" s="176"/>
      <c r="J2" s="176"/>
      <c r="K2" s="176"/>
      <c r="L2" s="176" t="str">
        <f>'BS6399-2 Standard Method'!F25</f>
        <v>West</v>
      </c>
      <c r="M2" s="176"/>
      <c r="N2" s="176" t="s">
        <v>146</v>
      </c>
      <c r="O2" s="176"/>
      <c r="P2" s="176" t="str">
        <f>'BS6399-2 Standard Method'!F32</f>
        <v>Country</v>
      </c>
      <c r="Q2" s="176"/>
      <c r="R2" s="177" t="s">
        <v>141</v>
      </c>
      <c r="S2" s="176"/>
      <c r="T2" s="176"/>
      <c r="U2" s="176"/>
      <c r="V2" s="176"/>
      <c r="W2" s="176"/>
      <c r="X2" s="176"/>
      <c r="Y2" s="176"/>
      <c r="Z2" s="176"/>
      <c r="AA2" s="176"/>
      <c r="AB2" s="176"/>
      <c r="AC2" s="176"/>
      <c r="AD2" s="211"/>
      <c r="AE2" s="211"/>
      <c r="AF2" s="211"/>
      <c r="AG2" s="211"/>
      <c r="AH2" s="176"/>
      <c r="AI2" s="176"/>
      <c r="AJ2" s="176"/>
      <c r="AK2" s="176"/>
      <c r="AL2" s="176"/>
    </row>
    <row r="3" spans="1:38" x14ac:dyDescent="0.2">
      <c r="A3" s="176"/>
      <c r="B3" s="176"/>
      <c r="C3" s="176"/>
      <c r="D3" s="176"/>
      <c r="E3" s="176"/>
      <c r="F3" s="176"/>
      <c r="G3" s="176"/>
      <c r="H3" s="176"/>
      <c r="I3" s="176"/>
      <c r="J3" s="176"/>
      <c r="K3" s="176"/>
      <c r="L3" s="176">
        <f>IF(L2=N1,0,IF(L2=N2,180,IF(L2=N3,90,IF(L2=N4,270,"N/A"))))</f>
        <v>270</v>
      </c>
      <c r="M3" s="176"/>
      <c r="N3" s="176" t="s">
        <v>147</v>
      </c>
      <c r="O3" s="176"/>
      <c r="P3" s="176" t="str">
        <f>IF(P2=R1,"T",IF(P2=R2,"C","N/A"))</f>
        <v>C</v>
      </c>
      <c r="Q3" s="176"/>
      <c r="R3" s="176"/>
      <c r="S3" s="176"/>
      <c r="T3" s="176"/>
      <c r="U3" s="176"/>
      <c r="V3" s="176"/>
      <c r="W3" s="176"/>
      <c r="X3" s="176"/>
      <c r="Y3" s="176"/>
      <c r="Z3" s="176"/>
      <c r="AA3" s="176"/>
      <c r="AB3" s="176"/>
      <c r="AC3" s="176"/>
      <c r="AD3" s="211"/>
      <c r="AE3" s="211"/>
      <c r="AF3" s="211"/>
      <c r="AG3" s="211"/>
      <c r="AH3" s="176"/>
      <c r="AI3" s="176"/>
      <c r="AJ3" s="176"/>
      <c r="AK3" s="176"/>
      <c r="AL3" s="176"/>
    </row>
    <row r="4" spans="1:38" x14ac:dyDescent="0.2">
      <c r="A4" s="176"/>
      <c r="B4" s="176"/>
      <c r="C4" s="176"/>
      <c r="D4" s="176"/>
      <c r="E4" s="176"/>
      <c r="F4" s="176"/>
      <c r="G4" s="176"/>
      <c r="H4" s="176"/>
      <c r="I4" s="176"/>
      <c r="J4" s="176"/>
      <c r="K4" s="176"/>
      <c r="L4" s="176"/>
      <c r="M4" s="176"/>
      <c r="N4" s="176" t="s">
        <v>105</v>
      </c>
      <c r="O4" s="176"/>
      <c r="P4" s="176"/>
      <c r="Q4" s="176"/>
      <c r="R4" s="176"/>
      <c r="S4" s="176"/>
      <c r="T4" s="176"/>
      <c r="U4" s="176"/>
      <c r="V4" s="176"/>
      <c r="W4" s="176"/>
      <c r="X4" s="176"/>
      <c r="Y4" s="176"/>
      <c r="Z4" s="176"/>
      <c r="AA4" s="176"/>
      <c r="AB4" s="176"/>
      <c r="AC4" s="176"/>
      <c r="AD4" s="211"/>
      <c r="AE4" s="211"/>
      <c r="AF4" s="211"/>
      <c r="AG4" s="211"/>
      <c r="AH4" s="176"/>
      <c r="AI4" s="176"/>
      <c r="AJ4" s="176"/>
      <c r="AK4" s="176"/>
      <c r="AL4" s="176"/>
    </row>
    <row r="5" spans="1:38" x14ac:dyDescent="0.2">
      <c r="A5" s="176" t="s">
        <v>148</v>
      </c>
      <c r="B5" s="176"/>
      <c r="C5" s="176"/>
      <c r="D5" s="176"/>
      <c r="E5" s="176"/>
      <c r="F5" s="176" t="s">
        <v>149</v>
      </c>
      <c r="G5" s="178">
        <f>'BS6399-2 Standard Method'!I17</f>
        <v>0</v>
      </c>
      <c r="H5" s="176" t="s">
        <v>4</v>
      </c>
      <c r="I5" s="176"/>
      <c r="J5" s="176"/>
      <c r="K5" s="176"/>
      <c r="L5" s="176"/>
      <c r="M5" s="176"/>
      <c r="N5" s="176"/>
      <c r="O5" s="176"/>
      <c r="P5" s="176"/>
      <c r="Q5" s="176"/>
      <c r="R5" s="176"/>
      <c r="S5" s="176"/>
      <c r="T5" s="176"/>
      <c r="U5" s="176"/>
      <c r="V5" s="176"/>
      <c r="W5" s="176"/>
      <c r="X5" s="176"/>
      <c r="Y5" s="176"/>
      <c r="Z5" s="176"/>
      <c r="AA5" s="176"/>
      <c r="AB5" s="176"/>
      <c r="AC5" s="176"/>
      <c r="AD5" s="211"/>
      <c r="AE5" s="211"/>
      <c r="AF5" s="211"/>
      <c r="AG5" s="211"/>
      <c r="AH5" s="176"/>
      <c r="AI5" s="176"/>
      <c r="AJ5" s="176"/>
      <c r="AK5" s="176"/>
      <c r="AL5" s="176"/>
    </row>
    <row r="6" spans="1:38" ht="15.75" x14ac:dyDescent="0.3">
      <c r="A6" s="176" t="s">
        <v>97</v>
      </c>
      <c r="B6" s="176"/>
      <c r="C6" s="176"/>
      <c r="D6" s="176"/>
      <c r="E6" s="176"/>
      <c r="F6" s="176" t="s">
        <v>150</v>
      </c>
      <c r="G6" s="178">
        <f>'BS6399-2 Standard Method'!I18</f>
        <v>0</v>
      </c>
      <c r="H6" s="176" t="s">
        <v>4</v>
      </c>
      <c r="I6" s="176"/>
      <c r="J6" s="176"/>
      <c r="K6" s="176"/>
      <c r="L6" s="176"/>
      <c r="M6" s="176"/>
      <c r="N6" s="176"/>
      <c r="O6" s="176"/>
      <c r="P6" s="176"/>
      <c r="Q6" s="176"/>
      <c r="R6" s="176"/>
      <c r="S6" s="176"/>
      <c r="T6" s="176"/>
      <c r="U6" s="176"/>
      <c r="V6" s="176"/>
      <c r="W6" s="176"/>
      <c r="X6" s="176"/>
      <c r="Y6" s="176"/>
      <c r="Z6" s="176"/>
      <c r="AA6" s="176"/>
      <c r="AB6" s="176"/>
      <c r="AC6" s="176"/>
      <c r="AD6" s="211"/>
      <c r="AE6" s="211"/>
      <c r="AF6" s="211"/>
      <c r="AG6" s="211"/>
      <c r="AH6" s="176"/>
      <c r="AI6" s="176"/>
      <c r="AJ6" s="176"/>
      <c r="AK6" s="176"/>
      <c r="AL6" s="176"/>
    </row>
    <row r="7" spans="1:38" ht="15.75" x14ac:dyDescent="0.3">
      <c r="A7" s="176" t="s">
        <v>151</v>
      </c>
      <c r="B7" s="176"/>
      <c r="C7" s="176"/>
      <c r="D7" s="176"/>
      <c r="E7" s="176"/>
      <c r="F7" s="176" t="s">
        <v>152</v>
      </c>
      <c r="G7" s="178">
        <f>'BS6399-2 Standard Method'!I19</f>
        <v>0</v>
      </c>
      <c r="H7" s="176" t="s">
        <v>4</v>
      </c>
      <c r="I7" s="176"/>
      <c r="J7" s="176"/>
      <c r="K7" s="176"/>
      <c r="L7" s="176"/>
      <c r="M7" s="176"/>
      <c r="N7" s="176"/>
      <c r="O7" s="176"/>
      <c r="P7" s="176"/>
      <c r="Q7" s="176"/>
      <c r="R7" s="176"/>
      <c r="S7" s="176"/>
      <c r="T7" s="176"/>
      <c r="U7" s="176"/>
      <c r="V7" s="176"/>
      <c r="W7" s="176"/>
      <c r="X7" s="176"/>
      <c r="Y7" s="176"/>
      <c r="Z7" s="176"/>
      <c r="AA7" s="176"/>
      <c r="AB7" s="176"/>
      <c r="AC7" s="176"/>
      <c r="AD7" s="211"/>
      <c r="AE7" s="211"/>
      <c r="AF7" s="211"/>
      <c r="AG7" s="211"/>
      <c r="AH7" s="176"/>
      <c r="AI7" s="176"/>
      <c r="AJ7" s="176"/>
      <c r="AK7" s="176"/>
      <c r="AL7" s="176"/>
    </row>
    <row r="8" spans="1:38" ht="15.75" x14ac:dyDescent="0.3">
      <c r="A8" s="176" t="s">
        <v>153</v>
      </c>
      <c r="B8" s="176"/>
      <c r="C8" s="176"/>
      <c r="D8" s="176"/>
      <c r="E8" s="176"/>
      <c r="F8" s="176" t="s">
        <v>154</v>
      </c>
      <c r="G8" s="179">
        <f>'Sheet1 (2)'!A1+'Sheet1 (2)'!B1</f>
        <v>0</v>
      </c>
      <c r="H8" s="176" t="s">
        <v>4</v>
      </c>
      <c r="I8" s="176"/>
      <c r="J8" s="176"/>
      <c r="K8" s="176"/>
      <c r="L8" s="176"/>
      <c r="M8" s="176"/>
      <c r="N8" s="176"/>
      <c r="O8" s="176"/>
      <c r="P8" s="176"/>
      <c r="Q8" s="176"/>
      <c r="R8" s="176"/>
      <c r="S8" s="176"/>
      <c r="T8" s="176"/>
      <c r="U8" s="176"/>
      <c r="V8" s="176"/>
      <c r="W8" s="176"/>
      <c r="X8" s="176"/>
      <c r="Y8" s="176"/>
      <c r="Z8" s="176"/>
      <c r="AA8" s="176"/>
      <c r="AB8" s="176"/>
      <c r="AC8" s="176"/>
      <c r="AD8" s="211"/>
      <c r="AE8" s="211"/>
      <c r="AF8" s="211"/>
      <c r="AG8" s="211"/>
      <c r="AH8" s="176"/>
      <c r="AI8" s="176"/>
      <c r="AJ8" s="176"/>
      <c r="AK8" s="176"/>
      <c r="AL8" s="176"/>
    </row>
    <row r="9" spans="1:38" x14ac:dyDescent="0.2">
      <c r="A9" s="176"/>
      <c r="B9" s="176"/>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211"/>
      <c r="AE9" s="211"/>
      <c r="AF9" s="211"/>
      <c r="AG9" s="211"/>
      <c r="AH9" s="176"/>
      <c r="AI9" s="176"/>
      <c r="AJ9" s="176"/>
      <c r="AK9" s="176"/>
      <c r="AL9" s="176"/>
    </row>
    <row r="10" spans="1:38" ht="15.75" x14ac:dyDescent="0.3">
      <c r="A10" s="176" t="s">
        <v>155</v>
      </c>
      <c r="B10" s="176"/>
      <c r="C10" s="176"/>
      <c r="D10" s="176"/>
      <c r="E10" s="176"/>
      <c r="F10" s="177" t="s">
        <v>156</v>
      </c>
      <c r="G10" s="178">
        <f>'BS6399-2 Standard Method'!I22</f>
        <v>0</v>
      </c>
      <c r="H10" s="176" t="s">
        <v>101</v>
      </c>
      <c r="I10" s="176"/>
      <c r="J10" s="176"/>
      <c r="K10" s="176"/>
      <c r="L10" s="176"/>
      <c r="M10" s="176"/>
      <c r="N10" s="176"/>
      <c r="O10" s="176"/>
      <c r="P10" s="176"/>
      <c r="Q10" s="176"/>
      <c r="R10" s="176"/>
      <c r="S10" s="176"/>
      <c r="T10" s="176"/>
      <c r="U10" s="176"/>
      <c r="V10" s="176"/>
      <c r="W10" s="176"/>
      <c r="X10" s="176"/>
      <c r="Y10" s="176"/>
      <c r="Z10" s="176"/>
      <c r="AA10" s="176"/>
      <c r="AB10" s="176"/>
      <c r="AC10" s="176"/>
      <c r="AD10" s="211"/>
      <c r="AE10" s="211"/>
      <c r="AF10" s="211"/>
      <c r="AG10" s="211"/>
      <c r="AH10" s="176"/>
      <c r="AI10" s="176"/>
      <c r="AJ10" s="176"/>
      <c r="AK10" s="176"/>
      <c r="AL10" s="176"/>
    </row>
    <row r="11" spans="1:38" x14ac:dyDescent="0.2">
      <c r="A11" s="176" t="s">
        <v>102</v>
      </c>
      <c r="B11" s="176"/>
      <c r="C11" s="176"/>
      <c r="D11" s="176"/>
      <c r="E11" s="176"/>
      <c r="F11" s="176"/>
      <c r="G11" s="178">
        <f>'BS6399-2 Standard Method'!I23</f>
        <v>0</v>
      </c>
      <c r="H11" s="176" t="s">
        <v>101</v>
      </c>
      <c r="I11" s="176"/>
      <c r="J11" s="176"/>
      <c r="K11" s="176"/>
      <c r="L11" s="176"/>
      <c r="M11" s="176"/>
      <c r="N11" s="176"/>
      <c r="O11" s="176"/>
      <c r="P11" s="176"/>
      <c r="Q11" s="176"/>
      <c r="R11" s="176"/>
      <c r="S11" s="176"/>
      <c r="T11" s="176"/>
      <c r="U11" s="176"/>
      <c r="V11" s="176"/>
      <c r="W11" s="176"/>
      <c r="X11" s="176"/>
      <c r="Y11" s="176"/>
      <c r="Z11" s="176"/>
      <c r="AA11" s="176"/>
      <c r="AB11" s="176"/>
      <c r="AC11" s="176"/>
      <c r="AD11" s="211"/>
      <c r="AE11" s="211"/>
      <c r="AF11" s="211"/>
      <c r="AG11" s="211"/>
      <c r="AH11" s="176"/>
      <c r="AI11" s="176"/>
      <c r="AJ11" s="176"/>
      <c r="AK11" s="176"/>
      <c r="AL11" s="176"/>
    </row>
    <row r="12" spans="1:38" x14ac:dyDescent="0.2">
      <c r="A12" s="176" t="s">
        <v>157</v>
      </c>
      <c r="B12" s="176"/>
      <c r="C12" s="176"/>
      <c r="D12" s="176"/>
      <c r="E12" s="176"/>
      <c r="F12" s="176"/>
      <c r="G12" s="180">
        <f>(1+(0.001*G11))</f>
        <v>1</v>
      </c>
      <c r="H12" s="176"/>
      <c r="I12" s="176"/>
      <c r="J12" s="176"/>
      <c r="K12" s="176"/>
      <c r="L12" s="176"/>
      <c r="M12" s="176"/>
      <c r="N12" s="176"/>
      <c r="O12" s="176"/>
      <c r="P12" s="176"/>
      <c r="Q12" s="176"/>
      <c r="R12" s="176"/>
      <c r="S12" s="176"/>
      <c r="T12" s="176"/>
      <c r="U12" s="176"/>
      <c r="V12" s="176"/>
      <c r="W12" s="176"/>
      <c r="X12" s="176"/>
      <c r="Y12" s="176"/>
      <c r="Z12" s="176"/>
      <c r="AA12" s="176"/>
      <c r="AB12" s="176"/>
      <c r="AC12" s="176"/>
      <c r="AD12" s="211"/>
      <c r="AE12" s="211"/>
      <c r="AF12" s="211"/>
      <c r="AG12" s="211"/>
      <c r="AH12" s="176"/>
      <c r="AI12" s="176"/>
      <c r="AJ12" s="176"/>
      <c r="AK12" s="176"/>
      <c r="AL12" s="176"/>
    </row>
    <row r="13" spans="1:38" x14ac:dyDescent="0.2">
      <c r="A13" s="176" t="s">
        <v>158</v>
      </c>
      <c r="B13" s="176"/>
      <c r="C13" s="176"/>
      <c r="D13" s="176"/>
      <c r="E13" s="176"/>
      <c r="F13" s="176"/>
      <c r="G13" s="178">
        <f>'BS6399-2 Standard Method'!I25</f>
        <v>270</v>
      </c>
      <c r="H13" s="176"/>
      <c r="I13" s="176"/>
      <c r="J13" s="176"/>
      <c r="K13" s="176"/>
      <c r="L13" s="176"/>
      <c r="M13" s="176"/>
      <c r="N13" s="176"/>
      <c r="O13" s="176"/>
      <c r="P13" s="176"/>
      <c r="Q13" s="176"/>
      <c r="R13" s="176"/>
      <c r="S13" s="176"/>
      <c r="T13" s="176"/>
      <c r="U13" s="176"/>
      <c r="V13" s="176"/>
      <c r="W13" s="176"/>
      <c r="X13" s="176"/>
      <c r="Y13" s="176"/>
      <c r="Z13" s="176"/>
      <c r="AA13" s="176"/>
      <c r="AB13" s="176"/>
      <c r="AC13" s="176"/>
      <c r="AD13" s="211"/>
      <c r="AE13" s="211"/>
      <c r="AF13" s="211"/>
      <c r="AG13" s="211"/>
      <c r="AH13" s="176"/>
      <c r="AI13" s="176"/>
      <c r="AJ13" s="176"/>
      <c r="AK13" s="176"/>
      <c r="AL13" s="176"/>
    </row>
    <row r="14" spans="1:38" ht="15.75" x14ac:dyDescent="0.3">
      <c r="A14" s="176" t="s">
        <v>159</v>
      </c>
      <c r="B14" s="176"/>
      <c r="C14" s="176"/>
      <c r="D14" s="176"/>
      <c r="E14" s="176"/>
      <c r="F14" s="176" t="s">
        <v>160</v>
      </c>
      <c r="G14" s="181">
        <f>SUM('Sheet1 (2)'!A2:B2)</f>
        <v>0.99</v>
      </c>
      <c r="H14" s="176"/>
      <c r="I14" s="176"/>
      <c r="J14" s="176"/>
      <c r="K14" s="176"/>
      <c r="L14" s="176"/>
      <c r="M14" s="176"/>
      <c r="N14" s="176"/>
      <c r="O14" s="176"/>
      <c r="P14" s="176"/>
      <c r="Q14" s="176"/>
      <c r="R14" s="176"/>
      <c r="S14" s="176"/>
      <c r="T14" s="176"/>
      <c r="U14" s="176"/>
      <c r="V14" s="176"/>
      <c r="W14" s="176"/>
      <c r="X14" s="176"/>
      <c r="Y14" s="176"/>
      <c r="Z14" s="176"/>
      <c r="AA14" s="176"/>
      <c r="AB14" s="176"/>
      <c r="AC14" s="176"/>
      <c r="AD14" s="211"/>
      <c r="AE14" s="211"/>
      <c r="AF14" s="211"/>
      <c r="AG14" s="211"/>
      <c r="AH14" s="176"/>
      <c r="AI14" s="176"/>
      <c r="AJ14" s="176"/>
      <c r="AK14" s="176"/>
      <c r="AL14" s="176"/>
    </row>
    <row r="15" spans="1:38" ht="15.75" x14ac:dyDescent="0.3">
      <c r="A15" s="176" t="s">
        <v>161</v>
      </c>
      <c r="B15" s="176"/>
      <c r="C15" s="176"/>
      <c r="D15" s="176"/>
      <c r="E15" s="176"/>
      <c r="F15" s="176" t="s">
        <v>162</v>
      </c>
      <c r="G15" s="182">
        <f>'BS6399-2 Standard Method'!I27</f>
        <v>1</v>
      </c>
      <c r="H15" s="176"/>
      <c r="I15" s="176"/>
      <c r="J15" s="176"/>
      <c r="K15" s="176"/>
      <c r="L15" s="176"/>
      <c r="M15" s="176"/>
      <c r="N15" s="176"/>
      <c r="O15" s="176"/>
      <c r="P15" s="176"/>
      <c r="Q15" s="176"/>
      <c r="R15" s="176"/>
      <c r="S15" s="176"/>
      <c r="T15" s="176"/>
      <c r="U15" s="176"/>
      <c r="V15" s="176"/>
      <c r="W15" s="176"/>
      <c r="X15" s="176"/>
      <c r="Y15" s="176"/>
      <c r="Z15" s="176"/>
      <c r="AA15" s="176"/>
      <c r="AB15" s="176"/>
      <c r="AC15" s="176"/>
      <c r="AD15" s="211"/>
      <c r="AE15" s="211"/>
      <c r="AF15" s="211"/>
      <c r="AG15" s="211"/>
      <c r="AH15" s="176"/>
      <c r="AI15" s="176"/>
      <c r="AJ15" s="176"/>
      <c r="AK15" s="176"/>
      <c r="AL15" s="176"/>
    </row>
    <row r="16" spans="1:38" x14ac:dyDescent="0.2">
      <c r="A16" s="176" t="s">
        <v>163</v>
      </c>
      <c r="B16" s="176"/>
      <c r="C16" s="176"/>
      <c r="D16" s="176"/>
      <c r="E16" s="176"/>
      <c r="F16" s="176"/>
      <c r="G16" s="178">
        <f>'BS6399-2 Standard Method'!I28</f>
        <v>50</v>
      </c>
      <c r="H16" s="176" t="s">
        <v>109</v>
      </c>
      <c r="I16" s="176"/>
      <c r="J16" s="176"/>
      <c r="K16" s="176"/>
      <c r="L16" s="176"/>
      <c r="M16" s="176"/>
      <c r="N16" s="176"/>
      <c r="O16" s="176"/>
      <c r="P16" s="176"/>
      <c r="Q16" s="176"/>
      <c r="R16" s="176"/>
      <c r="S16" s="176"/>
      <c r="T16" s="176"/>
      <c r="U16" s="176"/>
      <c r="V16" s="176"/>
      <c r="W16" s="176"/>
      <c r="X16" s="176"/>
      <c r="Y16" s="176"/>
      <c r="Z16" s="176"/>
      <c r="AA16" s="176"/>
      <c r="AB16" s="176"/>
      <c r="AC16" s="176"/>
      <c r="AD16" s="211"/>
      <c r="AE16" s="211"/>
      <c r="AF16" s="211"/>
      <c r="AG16" s="211"/>
      <c r="AH16" s="176"/>
      <c r="AI16" s="176"/>
      <c r="AJ16" s="176"/>
      <c r="AK16" s="176"/>
      <c r="AL16" s="176"/>
    </row>
    <row r="17" spans="1:38" ht="15.75" x14ac:dyDescent="0.3">
      <c r="A17" s="176" t="s">
        <v>164</v>
      </c>
      <c r="B17" s="176"/>
      <c r="C17" s="176"/>
      <c r="D17" s="176"/>
      <c r="E17" s="176"/>
      <c r="F17" s="176" t="s">
        <v>165</v>
      </c>
      <c r="G17" s="180">
        <f>SQRT('Sheet1 (2)'!A3/'Sheet1 (2)'!B3)</f>
        <v>1</v>
      </c>
      <c r="H17" s="176"/>
      <c r="I17" s="176"/>
      <c r="J17" s="176"/>
      <c r="K17" s="176"/>
      <c r="L17" s="176"/>
      <c r="M17" s="176"/>
      <c r="N17" s="176"/>
      <c r="O17" s="176"/>
      <c r="P17" s="176"/>
      <c r="Q17" s="176"/>
      <c r="R17" s="176"/>
      <c r="S17" s="176"/>
      <c r="T17" s="176"/>
      <c r="U17" s="176"/>
      <c r="V17" s="176"/>
      <c r="W17" s="176"/>
      <c r="X17" s="176"/>
      <c r="Y17" s="176"/>
      <c r="Z17" s="176"/>
      <c r="AA17" s="176"/>
      <c r="AB17" s="176"/>
      <c r="AC17" s="176"/>
      <c r="AD17" s="211"/>
      <c r="AE17" s="211"/>
      <c r="AF17" s="211"/>
      <c r="AG17" s="211"/>
      <c r="AH17" s="176"/>
      <c r="AI17" s="176"/>
      <c r="AJ17" s="176"/>
      <c r="AK17" s="176"/>
      <c r="AL17" s="176"/>
    </row>
    <row r="18" spans="1:38" ht="15.75" x14ac:dyDescent="0.3">
      <c r="A18" s="176" t="s">
        <v>166</v>
      </c>
      <c r="B18" s="176"/>
      <c r="C18" s="176"/>
      <c r="D18" s="176"/>
      <c r="E18" s="176"/>
      <c r="F18" s="176" t="s">
        <v>167</v>
      </c>
      <c r="G18" s="181">
        <f>G10*G12*G14*G15*G17</f>
        <v>0</v>
      </c>
      <c r="H18" s="176" t="s">
        <v>101</v>
      </c>
      <c r="I18" s="176"/>
      <c r="J18" s="176"/>
      <c r="K18" s="176"/>
      <c r="L18" s="176"/>
      <c r="M18" s="176"/>
      <c r="N18" s="176"/>
      <c r="O18" s="176"/>
      <c r="P18" s="176"/>
      <c r="Q18" s="176"/>
      <c r="R18" s="176"/>
      <c r="S18" s="176"/>
      <c r="T18" s="176"/>
      <c r="U18" s="176"/>
      <c r="V18" s="176"/>
      <c r="W18" s="176"/>
      <c r="X18" s="176"/>
      <c r="Y18" s="176"/>
      <c r="Z18" s="176"/>
      <c r="AA18" s="176"/>
      <c r="AB18" s="176"/>
      <c r="AC18" s="176"/>
      <c r="AD18" s="211"/>
      <c r="AE18" s="211"/>
      <c r="AF18" s="211"/>
      <c r="AG18" s="211"/>
      <c r="AH18" s="176"/>
      <c r="AI18" s="176"/>
      <c r="AJ18" s="176"/>
      <c r="AK18" s="176"/>
      <c r="AL18" s="176"/>
    </row>
    <row r="19" spans="1:38" x14ac:dyDescent="0.2">
      <c r="A19" s="176"/>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211"/>
      <c r="AE19" s="211"/>
      <c r="AF19" s="211"/>
      <c r="AG19" s="211"/>
      <c r="AH19" s="176"/>
      <c r="AI19" s="176"/>
      <c r="AJ19" s="176"/>
      <c r="AK19" s="176"/>
      <c r="AL19" s="176"/>
    </row>
    <row r="20" spans="1:38" x14ac:dyDescent="0.2">
      <c r="A20" s="176" t="s">
        <v>168</v>
      </c>
      <c r="B20" s="176"/>
      <c r="C20" s="176"/>
      <c r="D20" s="176"/>
      <c r="E20" s="176"/>
      <c r="F20" s="176"/>
      <c r="G20" s="178" t="str">
        <f>'BS6399-2 Standard Method'!I32</f>
        <v>C</v>
      </c>
      <c r="H20" s="176"/>
      <c r="I20" s="176"/>
      <c r="J20" s="176"/>
      <c r="K20" s="176"/>
      <c r="L20" s="176"/>
      <c r="M20" s="176"/>
      <c r="N20" s="176"/>
      <c r="O20" s="176"/>
      <c r="P20" s="176"/>
      <c r="Q20" s="176"/>
      <c r="R20" s="176"/>
      <c r="S20" s="176"/>
      <c r="T20" s="176"/>
      <c r="U20" s="176"/>
      <c r="V20" s="176"/>
      <c r="W20" s="176"/>
      <c r="X20" s="176"/>
      <c r="Y20" s="176"/>
      <c r="Z20" s="176"/>
      <c r="AA20" s="176"/>
      <c r="AB20" s="176"/>
      <c r="AC20" s="176"/>
      <c r="AD20" s="211"/>
      <c r="AE20" s="211"/>
      <c r="AF20" s="211"/>
      <c r="AG20" s="211"/>
      <c r="AH20" s="176"/>
      <c r="AI20" s="176"/>
      <c r="AJ20" s="176"/>
      <c r="AK20" s="176"/>
      <c r="AL20" s="176"/>
    </row>
    <row r="21" spans="1:38" x14ac:dyDescent="0.2">
      <c r="A21" s="176" t="s">
        <v>114</v>
      </c>
      <c r="B21" s="176"/>
      <c r="C21" s="176"/>
      <c r="D21" s="176"/>
      <c r="E21" s="176"/>
      <c r="F21" s="183">
        <f>'BS6399-2 Standard Method'!I33</f>
        <v>0</v>
      </c>
      <c r="G21" s="183">
        <f>IF(F21&gt;100,100,F21)</f>
        <v>0</v>
      </c>
      <c r="H21" s="176" t="s">
        <v>115</v>
      </c>
      <c r="I21" s="176"/>
      <c r="J21" s="176"/>
      <c r="K21" s="176"/>
      <c r="L21" s="176"/>
      <c r="M21" s="176"/>
      <c r="N21" s="176"/>
      <c r="O21" s="176"/>
      <c r="P21" s="176"/>
      <c r="Q21" s="176"/>
      <c r="R21" s="176"/>
      <c r="S21" s="176"/>
      <c r="T21" s="176"/>
      <c r="U21" s="176"/>
      <c r="V21" s="176"/>
      <c r="W21" s="176"/>
      <c r="X21" s="176"/>
      <c r="Y21" s="176"/>
      <c r="Z21" s="176"/>
      <c r="AA21" s="176"/>
      <c r="AB21" s="176"/>
      <c r="AC21" s="176"/>
      <c r="AD21" s="211"/>
      <c r="AE21" s="211"/>
      <c r="AF21" s="211"/>
      <c r="AG21" s="211"/>
      <c r="AH21" s="176"/>
      <c r="AI21" s="176"/>
      <c r="AJ21" s="176"/>
      <c r="AK21" s="176"/>
      <c r="AL21" s="176"/>
    </row>
    <row r="22" spans="1:38" ht="15.75" x14ac:dyDescent="0.3">
      <c r="A22" s="176" t="s">
        <v>169</v>
      </c>
      <c r="B22" s="176"/>
      <c r="C22" s="176"/>
      <c r="D22" s="176"/>
      <c r="E22" s="176"/>
      <c r="F22" s="176" t="s">
        <v>170</v>
      </c>
      <c r="G22" s="180">
        <f>IF(G20="T",'Sheet1 (2)'!N15,IF(G20="C",'Sheet1 (2)'!R29))</f>
        <v>0</v>
      </c>
      <c r="H22" s="176"/>
      <c r="I22" s="176"/>
      <c r="J22" s="176"/>
      <c r="K22" s="176"/>
      <c r="L22" s="176"/>
      <c r="M22" s="176"/>
      <c r="N22" s="176"/>
      <c r="O22" s="176"/>
      <c r="P22" s="176"/>
      <c r="Q22" s="176"/>
      <c r="R22" s="176"/>
      <c r="S22" s="176"/>
      <c r="T22" s="176"/>
      <c r="U22" s="176"/>
      <c r="V22" s="176"/>
      <c r="W22" s="176"/>
      <c r="X22" s="176"/>
      <c r="Y22" s="176"/>
      <c r="Z22" s="176"/>
      <c r="AA22" s="176"/>
      <c r="AB22" s="176"/>
      <c r="AC22" s="176"/>
      <c r="AD22" s="211"/>
      <c r="AE22" s="211"/>
      <c r="AF22" s="211"/>
      <c r="AG22" s="211"/>
      <c r="AH22" s="176"/>
      <c r="AI22" s="176"/>
      <c r="AJ22" s="176"/>
      <c r="AK22" s="176"/>
      <c r="AL22" s="176"/>
    </row>
    <row r="23" spans="1:38" x14ac:dyDescent="0.2">
      <c r="A23" s="176"/>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211"/>
      <c r="AE23" s="211"/>
      <c r="AF23" s="211"/>
      <c r="AG23" s="211"/>
      <c r="AH23" s="176"/>
      <c r="AI23" s="176"/>
      <c r="AJ23" s="176"/>
      <c r="AK23" s="176"/>
      <c r="AL23" s="176"/>
    </row>
    <row r="24" spans="1:38" ht="15.75" x14ac:dyDescent="0.3">
      <c r="A24" s="176" t="s">
        <v>171</v>
      </c>
      <c r="B24" s="176"/>
      <c r="C24" s="176"/>
      <c r="D24" s="176"/>
      <c r="E24" s="176"/>
      <c r="F24" s="176" t="s">
        <v>172</v>
      </c>
      <c r="G24" s="181">
        <f>G18*G22</f>
        <v>0</v>
      </c>
      <c r="H24" s="176" t="s">
        <v>101</v>
      </c>
      <c r="I24" s="176"/>
      <c r="J24" s="176"/>
      <c r="K24" s="176"/>
      <c r="L24" s="176"/>
      <c r="M24" s="176"/>
      <c r="N24" s="176"/>
      <c r="O24" s="176"/>
      <c r="P24" s="176"/>
      <c r="Q24" s="176"/>
      <c r="R24" s="176"/>
      <c r="S24" s="176"/>
      <c r="T24" s="176"/>
      <c r="U24" s="176"/>
      <c r="V24" s="176"/>
      <c r="W24" s="176"/>
      <c r="X24" s="176"/>
      <c r="Y24" s="176"/>
      <c r="Z24" s="176"/>
      <c r="AA24" s="176"/>
      <c r="AB24" s="176"/>
      <c r="AC24" s="176"/>
      <c r="AD24" s="211"/>
      <c r="AE24" s="211"/>
      <c r="AF24" s="211"/>
      <c r="AG24" s="211"/>
      <c r="AH24" s="176"/>
      <c r="AI24" s="176"/>
      <c r="AJ24" s="176"/>
      <c r="AK24" s="176"/>
      <c r="AL24" s="176"/>
    </row>
    <row r="25" spans="1:38" ht="15.75" x14ac:dyDescent="0.3">
      <c r="A25" s="176" t="s">
        <v>173</v>
      </c>
      <c r="B25" s="176"/>
      <c r="C25" s="176"/>
      <c r="D25" s="176"/>
      <c r="E25" s="176"/>
      <c r="F25" s="176" t="s">
        <v>174</v>
      </c>
      <c r="G25" s="181">
        <f>((G24*G24)*0.613)/1000</f>
        <v>0</v>
      </c>
      <c r="H25" s="177" t="s">
        <v>175</v>
      </c>
      <c r="I25" s="176"/>
      <c r="J25" s="176"/>
      <c r="K25" s="176"/>
      <c r="L25" s="176"/>
      <c r="M25" s="176"/>
      <c r="N25" s="176"/>
      <c r="O25" s="176"/>
      <c r="P25" s="176"/>
      <c r="Q25" s="176"/>
      <c r="R25" s="176"/>
      <c r="S25" s="176"/>
      <c r="T25" s="176"/>
      <c r="U25" s="176"/>
      <c r="V25" s="176"/>
      <c r="W25" s="176"/>
      <c r="X25" s="176"/>
      <c r="Y25" s="176"/>
      <c r="Z25" s="176"/>
      <c r="AA25" s="176"/>
      <c r="AB25" s="176"/>
      <c r="AC25" s="176"/>
      <c r="AD25" s="211"/>
      <c r="AE25" s="211"/>
      <c r="AF25" s="211"/>
      <c r="AG25" s="211"/>
      <c r="AH25" s="176"/>
      <c r="AI25" s="176"/>
      <c r="AJ25" s="176"/>
      <c r="AK25" s="176"/>
      <c r="AL25" s="176"/>
    </row>
    <row r="26" spans="1:38" x14ac:dyDescent="0.2">
      <c r="A26" s="176"/>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211"/>
      <c r="AE26" s="211"/>
      <c r="AF26" s="211"/>
      <c r="AG26" s="211"/>
      <c r="AH26" s="176"/>
      <c r="AI26" s="176"/>
      <c r="AJ26" s="176"/>
      <c r="AK26" s="176"/>
      <c r="AL26" s="176"/>
    </row>
    <row r="27" spans="1:38" x14ac:dyDescent="0.2">
      <c r="A27" s="176" t="s">
        <v>176</v>
      </c>
      <c r="B27" s="176"/>
      <c r="C27" s="176"/>
      <c r="D27" s="176"/>
      <c r="E27" s="176"/>
      <c r="F27" s="176" t="s">
        <v>1</v>
      </c>
      <c r="G27" s="178">
        <f>'BS6399-2 Standard Method'!I39</f>
        <v>0</v>
      </c>
      <c r="H27" s="176" t="s">
        <v>4</v>
      </c>
      <c r="I27" s="176"/>
      <c r="J27" s="176"/>
      <c r="K27" s="176"/>
      <c r="L27" s="176"/>
      <c r="M27" s="176"/>
      <c r="N27" s="176"/>
      <c r="O27" s="176"/>
      <c r="P27" s="176"/>
      <c r="Q27" s="176"/>
      <c r="R27" s="176"/>
      <c r="S27" s="176"/>
      <c r="T27" s="176"/>
      <c r="U27" s="176"/>
      <c r="V27" s="176"/>
      <c r="W27" s="176"/>
      <c r="X27" s="176"/>
      <c r="Y27" s="176"/>
      <c r="Z27" s="176"/>
      <c r="AA27" s="176"/>
      <c r="AB27" s="176"/>
      <c r="AC27" s="176"/>
      <c r="AD27" s="211"/>
      <c r="AE27" s="211"/>
      <c r="AF27" s="211"/>
      <c r="AG27" s="211"/>
      <c r="AH27" s="176"/>
      <c r="AI27" s="176"/>
      <c r="AJ27" s="176"/>
      <c r="AK27" s="176"/>
      <c r="AL27" s="176"/>
    </row>
    <row r="28" spans="1:38" x14ac:dyDescent="0.2">
      <c r="A28" s="176" t="s">
        <v>177</v>
      </c>
      <c r="B28" s="176"/>
      <c r="C28" s="176"/>
      <c r="D28" s="176"/>
      <c r="E28" s="176"/>
      <c r="F28" s="176" t="s">
        <v>178</v>
      </c>
      <c r="G28" s="178">
        <f>'BS6399-2 Standard Method'!I40</f>
        <v>0</v>
      </c>
      <c r="H28" s="176" t="s">
        <v>4</v>
      </c>
      <c r="I28" s="176"/>
      <c r="J28" s="176"/>
      <c r="K28" s="176"/>
      <c r="L28" s="176"/>
      <c r="M28" s="176"/>
      <c r="N28" s="176"/>
      <c r="O28" s="176"/>
      <c r="P28" s="176"/>
      <c r="Q28" s="176"/>
      <c r="R28" s="176"/>
      <c r="S28" s="176"/>
      <c r="T28" s="176"/>
      <c r="U28" s="176"/>
      <c r="V28" s="176"/>
      <c r="W28" s="176"/>
      <c r="X28" s="176"/>
      <c r="Y28" s="176"/>
      <c r="Z28" s="176"/>
      <c r="AA28" s="176"/>
      <c r="AB28" s="176"/>
      <c r="AC28" s="176"/>
      <c r="AD28" s="211"/>
      <c r="AE28" s="211"/>
      <c r="AF28" s="211"/>
      <c r="AG28" s="211"/>
      <c r="AH28" s="176"/>
      <c r="AI28" s="176"/>
      <c r="AJ28" s="176"/>
      <c r="AK28" s="176"/>
      <c r="AL28" s="176"/>
    </row>
    <row r="29" spans="1:38" x14ac:dyDescent="0.2">
      <c r="A29" s="176" t="s">
        <v>179</v>
      </c>
      <c r="B29" s="176"/>
      <c r="C29" s="176"/>
      <c r="D29" s="176"/>
      <c r="E29" s="176"/>
      <c r="F29" s="176" t="s">
        <v>180</v>
      </c>
      <c r="G29" s="184">
        <f>IF(G27&lt;(2*G7),G27,(2*G7))</f>
        <v>0</v>
      </c>
      <c r="H29" s="176" t="s">
        <v>4</v>
      </c>
      <c r="I29" s="176"/>
      <c r="J29" s="176"/>
      <c r="K29" s="176"/>
      <c r="L29" s="176"/>
      <c r="M29" s="176"/>
      <c r="N29" s="176"/>
      <c r="O29" s="176"/>
      <c r="P29" s="176"/>
      <c r="Q29" s="176"/>
      <c r="R29" s="176"/>
      <c r="S29" s="176"/>
      <c r="T29" s="176"/>
      <c r="U29" s="176"/>
      <c r="V29" s="176"/>
      <c r="W29" s="176"/>
      <c r="X29" s="176"/>
      <c r="Y29" s="176"/>
      <c r="Z29" s="176"/>
      <c r="AA29" s="176"/>
      <c r="AB29" s="176"/>
      <c r="AC29" s="176"/>
      <c r="AD29" s="211"/>
      <c r="AE29" s="211"/>
      <c r="AF29" s="211"/>
      <c r="AG29" s="211"/>
      <c r="AH29" s="176"/>
      <c r="AI29" s="176"/>
      <c r="AJ29" s="176"/>
      <c r="AK29" s="176"/>
      <c r="AL29" s="176"/>
    </row>
    <row r="30" spans="1:38" x14ac:dyDescent="0.2">
      <c r="A30" s="176" t="s">
        <v>181</v>
      </c>
      <c r="B30" s="176"/>
      <c r="C30" s="176"/>
      <c r="D30" s="176"/>
      <c r="E30" s="176"/>
      <c r="F30" s="176"/>
      <c r="G30" s="181" t="e">
        <f>G28/G7</f>
        <v>#DIV/0!</v>
      </c>
      <c r="H30" s="176"/>
      <c r="I30" s="176"/>
      <c r="J30" s="176"/>
      <c r="K30" s="176"/>
      <c r="L30" s="176"/>
      <c r="M30" s="176"/>
      <c r="N30" s="176"/>
      <c r="O30" s="176"/>
      <c r="P30" s="176"/>
      <c r="Q30" s="176"/>
      <c r="R30" s="176"/>
      <c r="S30" s="176"/>
      <c r="T30" s="176"/>
      <c r="U30" s="176"/>
      <c r="V30" s="176"/>
      <c r="W30" s="176"/>
      <c r="X30" s="176"/>
      <c r="Y30" s="176"/>
      <c r="Z30" s="176"/>
      <c r="AA30" s="176"/>
      <c r="AB30" s="176"/>
      <c r="AC30" s="176"/>
      <c r="AD30" s="211"/>
      <c r="AE30" s="211"/>
      <c r="AF30" s="211"/>
      <c r="AG30" s="211"/>
      <c r="AH30" s="176"/>
      <c r="AI30" s="176"/>
      <c r="AJ30" s="176"/>
      <c r="AK30" s="176"/>
      <c r="AL30" s="176"/>
    </row>
    <row r="31" spans="1:38" x14ac:dyDescent="0.2">
      <c r="A31" s="176" t="s">
        <v>124</v>
      </c>
      <c r="B31" s="176"/>
      <c r="C31" s="176"/>
      <c r="D31" s="176"/>
      <c r="E31" s="176"/>
      <c r="F31" s="176"/>
      <c r="G31" s="178">
        <f>'BS6399-2 Standard Method'!I43</f>
        <v>0</v>
      </c>
      <c r="H31" s="176" t="s">
        <v>4</v>
      </c>
      <c r="I31" s="176"/>
      <c r="J31" s="176"/>
      <c r="K31" s="176"/>
      <c r="L31" s="176"/>
      <c r="M31" s="176"/>
      <c r="N31" s="176"/>
      <c r="O31" s="176"/>
      <c r="P31" s="176"/>
      <c r="Q31" s="176"/>
      <c r="R31" s="176"/>
      <c r="S31" s="176"/>
      <c r="T31" s="176"/>
      <c r="U31" s="176"/>
      <c r="V31" s="176"/>
      <c r="W31" s="176"/>
      <c r="X31" s="176"/>
      <c r="Y31" s="176"/>
      <c r="Z31" s="176"/>
      <c r="AA31" s="176"/>
      <c r="AB31" s="176"/>
      <c r="AC31" s="176"/>
      <c r="AD31" s="211"/>
      <c r="AE31" s="211"/>
      <c r="AF31" s="211"/>
      <c r="AG31" s="211"/>
      <c r="AH31" s="176"/>
      <c r="AI31" s="176"/>
      <c r="AJ31" s="176"/>
      <c r="AK31" s="176"/>
      <c r="AL31" s="176"/>
    </row>
    <row r="32" spans="1:38" x14ac:dyDescent="0.2">
      <c r="A32" s="176"/>
      <c r="B32" s="176"/>
      <c r="C32" s="176"/>
      <c r="D32" s="176"/>
      <c r="E32" s="176"/>
      <c r="F32" s="185" t="str">
        <f>IF(OR($G$31&lt;($G$29/4),$G$31&gt;$G$29),"Funnelling is not expected","Funnelling is expected")</f>
        <v>Funnelling is expected</v>
      </c>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c r="AD32" s="211"/>
      <c r="AE32" s="211"/>
      <c r="AF32" s="211"/>
      <c r="AG32" s="211"/>
      <c r="AH32" s="176"/>
      <c r="AI32" s="176"/>
      <c r="AJ32" s="176"/>
      <c r="AK32" s="176"/>
      <c r="AL32" s="176"/>
    </row>
    <row r="33" spans="1:38" x14ac:dyDescent="0.2">
      <c r="A33" s="176"/>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211"/>
      <c r="AE33" s="211"/>
      <c r="AF33" s="211"/>
      <c r="AG33" s="211"/>
      <c r="AH33" s="176"/>
      <c r="AI33" s="176"/>
      <c r="AJ33" s="176"/>
      <c r="AK33" s="176"/>
      <c r="AL33" s="176"/>
    </row>
    <row r="34" spans="1:38" x14ac:dyDescent="0.2">
      <c r="A34" s="186" t="s">
        <v>126</v>
      </c>
      <c r="B34" s="187"/>
      <c r="C34" s="186" t="s">
        <v>127</v>
      </c>
      <c r="D34" s="188"/>
      <c r="E34" s="186" t="s">
        <v>128</v>
      </c>
      <c r="F34" s="188"/>
      <c r="G34" s="189" t="s">
        <v>129</v>
      </c>
      <c r="H34" s="190" t="s">
        <v>125</v>
      </c>
      <c r="I34" s="176"/>
      <c r="J34" s="176"/>
      <c r="K34" s="176"/>
      <c r="L34" s="176"/>
      <c r="M34" s="176"/>
      <c r="N34" s="176"/>
      <c r="O34" s="176"/>
      <c r="P34" s="176"/>
      <c r="Q34" s="176"/>
      <c r="R34" s="176"/>
      <c r="S34" s="176"/>
      <c r="T34" s="176"/>
      <c r="U34" s="176"/>
      <c r="V34" s="176"/>
      <c r="W34" s="176"/>
      <c r="X34" s="176"/>
      <c r="Y34" s="176"/>
      <c r="Z34" s="176"/>
      <c r="AA34" s="176"/>
      <c r="AB34" s="176"/>
      <c r="AC34" s="176"/>
      <c r="AD34" s="211"/>
      <c r="AE34" s="211"/>
      <c r="AF34" s="211"/>
      <c r="AG34" s="211"/>
      <c r="AH34" s="176"/>
      <c r="AI34" s="176"/>
      <c r="AJ34" s="176"/>
      <c r="AK34" s="176"/>
      <c r="AL34" s="176"/>
    </row>
    <row r="35" spans="1:38" ht="13.5" x14ac:dyDescent="0.2">
      <c r="A35" s="191" t="s">
        <v>182</v>
      </c>
      <c r="B35" s="192"/>
      <c r="C35" s="191" t="s">
        <v>183</v>
      </c>
      <c r="D35" s="193"/>
      <c r="E35" s="191" t="s">
        <v>132</v>
      </c>
      <c r="F35" s="193"/>
      <c r="G35" s="194" t="s">
        <v>184</v>
      </c>
      <c r="H35" s="195" t="s">
        <v>134</v>
      </c>
      <c r="I35" s="176"/>
      <c r="J35" s="176"/>
      <c r="K35" s="176"/>
      <c r="L35" s="176"/>
      <c r="M35" s="176"/>
      <c r="N35" s="176"/>
      <c r="O35" s="176"/>
      <c r="P35" s="176"/>
      <c r="Q35" s="176"/>
      <c r="R35" s="176"/>
      <c r="S35" s="176"/>
      <c r="T35" s="176"/>
      <c r="U35" s="176"/>
      <c r="V35" s="176"/>
      <c r="W35" s="176"/>
      <c r="X35" s="176"/>
      <c r="Y35" s="176"/>
      <c r="Z35" s="176"/>
      <c r="AA35" s="176"/>
      <c r="AB35" s="176"/>
      <c r="AC35" s="176"/>
      <c r="AD35" s="211"/>
      <c r="AE35" s="211"/>
      <c r="AF35" s="211"/>
      <c r="AG35" s="211"/>
      <c r="AH35" s="176"/>
      <c r="AI35" s="176"/>
      <c r="AJ35" s="176"/>
      <c r="AK35" s="176"/>
      <c r="AL35" s="176"/>
    </row>
    <row r="36" spans="1:38" x14ac:dyDescent="0.2">
      <c r="A36" s="196" t="s">
        <v>137</v>
      </c>
      <c r="B36" s="197" t="e">
        <f>IF(G30&lt;1.001,0.8,IF(G30&gt;3.99,0.6,0.8-(((0.8-0.6)/3)*(G30-1))))</f>
        <v>#DIV/0!</v>
      </c>
      <c r="C36" s="196"/>
      <c r="D36" s="198">
        <v>-0.3</v>
      </c>
      <c r="E36" s="196"/>
      <c r="F36" s="199" t="e">
        <f>B36+((-1)*D36)</f>
        <v>#DIV/0!</v>
      </c>
      <c r="G36" s="200" t="e">
        <f>F36*$G$25</f>
        <v>#DIV/0!</v>
      </c>
      <c r="H36" s="201"/>
      <c r="I36" s="176"/>
      <c r="J36" s="176"/>
      <c r="K36" s="176"/>
      <c r="L36" s="176"/>
      <c r="M36" s="176"/>
      <c r="N36" s="176"/>
      <c r="O36" s="176"/>
      <c r="P36" s="176"/>
      <c r="Q36" s="176"/>
      <c r="R36" s="176"/>
      <c r="S36" s="176"/>
      <c r="T36" s="176"/>
      <c r="U36" s="176"/>
      <c r="V36" s="176"/>
      <c r="W36" s="176"/>
      <c r="X36" s="176"/>
      <c r="Y36" s="176"/>
      <c r="Z36" s="176"/>
      <c r="AA36" s="176"/>
      <c r="AB36" s="176"/>
      <c r="AC36" s="176"/>
      <c r="AD36" s="211"/>
      <c r="AE36" s="211"/>
      <c r="AF36" s="211"/>
      <c r="AG36" s="211"/>
      <c r="AH36" s="176"/>
      <c r="AI36" s="176"/>
      <c r="AJ36" s="176"/>
      <c r="AK36" s="176"/>
      <c r="AL36" s="176"/>
    </row>
    <row r="37" spans="1:38" x14ac:dyDescent="0.2">
      <c r="A37" s="196" t="s">
        <v>138</v>
      </c>
      <c r="B37" s="197">
        <f>(SUM('Sheet1 (2)'!A35:D35))*-1</f>
        <v>-1.6</v>
      </c>
      <c r="C37" s="196"/>
      <c r="D37" s="198">
        <v>0.2</v>
      </c>
      <c r="E37" s="196"/>
      <c r="F37" s="199">
        <f>B37+((-1)*D37)</f>
        <v>-1.8</v>
      </c>
      <c r="G37" s="200">
        <f>F37*$G$25</f>
        <v>0</v>
      </c>
      <c r="H37" s="202">
        <f>0.2*G29</f>
        <v>0</v>
      </c>
      <c r="I37" s="176"/>
      <c r="J37" s="176"/>
      <c r="K37" s="176"/>
      <c r="L37" s="176"/>
      <c r="M37" s="176"/>
      <c r="N37" s="176"/>
      <c r="O37" s="176"/>
      <c r="P37" s="176"/>
      <c r="Q37" s="176"/>
      <c r="R37" s="176"/>
      <c r="S37" s="176"/>
      <c r="T37" s="176"/>
      <c r="U37" s="176"/>
      <c r="V37" s="176"/>
      <c r="W37" s="176"/>
      <c r="X37" s="176"/>
      <c r="Y37" s="176"/>
      <c r="Z37" s="176"/>
      <c r="AA37" s="176"/>
      <c r="AB37" s="176"/>
      <c r="AC37" s="176"/>
      <c r="AD37" s="211"/>
      <c r="AE37" s="211"/>
      <c r="AF37" s="211"/>
      <c r="AG37" s="211"/>
      <c r="AH37" s="176"/>
      <c r="AI37" s="176"/>
      <c r="AJ37" s="176"/>
      <c r="AK37" s="176"/>
      <c r="AL37" s="176"/>
    </row>
    <row r="38" spans="1:38" x14ac:dyDescent="0.2">
      <c r="A38" s="196" t="s">
        <v>139</v>
      </c>
      <c r="B38" s="197">
        <f>SUM('Sheet1 (2)'!A36:D36)*-1</f>
        <v>-0.9</v>
      </c>
      <c r="C38" s="196"/>
      <c r="D38" s="198">
        <v>0.2</v>
      </c>
      <c r="E38" s="196"/>
      <c r="F38" s="199">
        <f>B38+((-1)*D38)</f>
        <v>-1.1000000000000001</v>
      </c>
      <c r="G38" s="200">
        <f>F38*$G$25</f>
        <v>0</v>
      </c>
      <c r="H38" s="202">
        <f>G27-H37-H39</f>
        <v>0</v>
      </c>
      <c r="I38" s="176"/>
      <c r="J38" s="176"/>
      <c r="K38" s="176"/>
      <c r="L38" s="176"/>
      <c r="M38" s="176"/>
      <c r="N38" s="176"/>
      <c r="O38" s="176"/>
      <c r="P38" s="176"/>
      <c r="Q38" s="176"/>
      <c r="R38" s="176"/>
      <c r="S38" s="176"/>
      <c r="T38" s="176"/>
      <c r="U38" s="176"/>
      <c r="V38" s="176"/>
      <c r="W38" s="176"/>
      <c r="X38" s="176"/>
      <c r="Y38" s="176"/>
      <c r="Z38" s="176"/>
      <c r="AA38" s="176"/>
      <c r="AB38" s="176"/>
      <c r="AC38" s="176"/>
      <c r="AD38" s="211"/>
      <c r="AE38" s="211"/>
      <c r="AF38" s="211"/>
      <c r="AG38" s="211"/>
      <c r="AH38" s="176"/>
      <c r="AI38" s="176"/>
      <c r="AJ38" s="176"/>
      <c r="AK38" s="176"/>
      <c r="AL38" s="176"/>
    </row>
    <row r="39" spans="1:38" x14ac:dyDescent="0.2">
      <c r="A39" s="203" t="s">
        <v>140</v>
      </c>
      <c r="B39" s="204">
        <f>SUM('Sheet1 (2)'!A37:D37)*-1</f>
        <v>-0.9</v>
      </c>
      <c r="C39" s="203"/>
      <c r="D39" s="205">
        <v>0.2</v>
      </c>
      <c r="E39" s="203"/>
      <c r="F39" s="206">
        <f>B39+((-1)*D39)</f>
        <v>-1.1000000000000001</v>
      </c>
      <c r="G39" s="207">
        <f>F39*$G$25</f>
        <v>0</v>
      </c>
      <c r="H39" s="208">
        <f>IF(G28&gt;G29,G28,0)</f>
        <v>0</v>
      </c>
      <c r="I39" s="176"/>
      <c r="J39" s="176"/>
      <c r="K39" s="176"/>
      <c r="L39" s="176"/>
      <c r="M39" s="176"/>
      <c r="N39" s="176"/>
      <c r="O39" s="176"/>
      <c r="P39" s="176"/>
      <c r="Q39" s="176"/>
      <c r="R39" s="176"/>
      <c r="S39" s="176"/>
      <c r="T39" s="176"/>
      <c r="U39" s="176"/>
      <c r="V39" s="176"/>
      <c r="W39" s="176"/>
      <c r="X39" s="176"/>
      <c r="Y39" s="176"/>
      <c r="Z39" s="176"/>
      <c r="AA39" s="176"/>
      <c r="AB39" s="176"/>
      <c r="AC39" s="176"/>
      <c r="AD39" s="211"/>
      <c r="AE39" s="211"/>
      <c r="AF39" s="211"/>
      <c r="AG39" s="211"/>
      <c r="AH39" s="176"/>
      <c r="AI39" s="176"/>
      <c r="AJ39" s="176"/>
      <c r="AK39" s="176"/>
      <c r="AL39" s="176"/>
    </row>
    <row r="40" spans="1:38" x14ac:dyDescent="0.2">
      <c r="A40" s="176"/>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211"/>
      <c r="AE40" s="211"/>
      <c r="AF40" s="211"/>
      <c r="AG40" s="211"/>
      <c r="AH40" s="176"/>
      <c r="AI40" s="176"/>
      <c r="AJ40" s="176"/>
      <c r="AK40" s="176"/>
      <c r="AL40" s="176"/>
    </row>
    <row r="41" spans="1:38" x14ac:dyDescent="0.2">
      <c r="A41" s="176"/>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211"/>
      <c r="AE41" s="211"/>
      <c r="AF41" s="211"/>
      <c r="AG41" s="211"/>
      <c r="AH41" s="176"/>
      <c r="AI41" s="176"/>
      <c r="AJ41" s="176"/>
      <c r="AK41" s="176"/>
      <c r="AL41" s="176"/>
    </row>
    <row r="42" spans="1:38" x14ac:dyDescent="0.2">
      <c r="A42" s="176"/>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211"/>
      <c r="AE42" s="211"/>
      <c r="AF42" s="211"/>
      <c r="AG42" s="211"/>
      <c r="AH42" s="176"/>
      <c r="AI42" s="176"/>
      <c r="AJ42" s="176"/>
      <c r="AK42" s="176"/>
      <c r="AL42" s="176"/>
    </row>
    <row r="43" spans="1:38" x14ac:dyDescent="0.2">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211"/>
      <c r="AE43" s="211"/>
      <c r="AF43" s="211"/>
      <c r="AG43" s="211"/>
      <c r="AH43" s="176"/>
      <c r="AI43" s="176"/>
      <c r="AJ43" s="176"/>
      <c r="AK43" s="176"/>
      <c r="AL43" s="176"/>
    </row>
    <row r="44" spans="1:38" x14ac:dyDescent="0.2">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211"/>
      <c r="AE44" s="211"/>
      <c r="AF44" s="211"/>
      <c r="AG44" s="211"/>
      <c r="AH44" s="176"/>
      <c r="AI44" s="176"/>
      <c r="AJ44" s="176"/>
      <c r="AK44" s="176"/>
      <c r="AL44" s="176"/>
    </row>
    <row r="45" spans="1:38" x14ac:dyDescent="0.2">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211"/>
      <c r="AE45" s="211"/>
      <c r="AF45" s="211"/>
      <c r="AG45" s="211"/>
      <c r="AH45" s="176"/>
      <c r="AI45" s="176"/>
      <c r="AJ45" s="176"/>
      <c r="AK45" s="176"/>
      <c r="AL45" s="176"/>
    </row>
    <row r="46" spans="1:38" x14ac:dyDescent="0.2">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211"/>
      <c r="AE46" s="211"/>
      <c r="AF46" s="211"/>
      <c r="AG46" s="211"/>
      <c r="AH46" s="176"/>
      <c r="AI46" s="176"/>
      <c r="AJ46" s="176"/>
      <c r="AK46" s="176"/>
      <c r="AL46" s="176"/>
    </row>
    <row r="47" spans="1:38" x14ac:dyDescent="0.2">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211"/>
      <c r="AE47" s="211"/>
      <c r="AF47" s="211"/>
      <c r="AG47" s="211"/>
      <c r="AH47" s="176"/>
      <c r="AI47" s="176"/>
      <c r="AJ47" s="176"/>
      <c r="AK47" s="176"/>
      <c r="AL47" s="176"/>
    </row>
    <row r="48" spans="1:38" x14ac:dyDescent="0.2">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211"/>
      <c r="AE48" s="211"/>
      <c r="AF48" s="211"/>
      <c r="AG48" s="211"/>
      <c r="AH48" s="176"/>
      <c r="AI48" s="176"/>
      <c r="AJ48" s="176"/>
      <c r="AK48" s="176"/>
      <c r="AL48" s="176"/>
    </row>
    <row r="49" spans="1:38" x14ac:dyDescent="0.2">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211"/>
      <c r="AE49" s="211"/>
      <c r="AF49" s="211"/>
      <c r="AG49" s="211"/>
      <c r="AH49" s="176"/>
      <c r="AI49" s="176"/>
      <c r="AJ49" s="176"/>
      <c r="AK49" s="176"/>
      <c r="AL49" s="176"/>
    </row>
    <row r="50" spans="1:38" x14ac:dyDescent="0.2">
      <c r="A50" s="176"/>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211"/>
      <c r="AE50" s="211"/>
      <c r="AF50" s="211"/>
      <c r="AG50" s="211"/>
      <c r="AH50" s="176"/>
      <c r="AI50" s="176"/>
      <c r="AJ50" s="176"/>
      <c r="AK50" s="176"/>
      <c r="AL50" s="176"/>
    </row>
    <row r="51" spans="1:38" x14ac:dyDescent="0.2">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211"/>
      <c r="AE51" s="211"/>
      <c r="AF51" s="211"/>
      <c r="AG51" s="211"/>
      <c r="AH51" s="176"/>
      <c r="AI51" s="176"/>
      <c r="AJ51" s="176"/>
      <c r="AK51" s="176"/>
      <c r="AL51" s="176"/>
    </row>
    <row r="52" spans="1:38" x14ac:dyDescent="0.2">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S83"/>
  <sheetViews>
    <sheetView tabSelected="1" zoomScale="90" zoomScaleNormal="90" workbookViewId="0">
      <selection activeCell="I18" sqref="I18"/>
    </sheetView>
  </sheetViews>
  <sheetFormatPr defaultRowHeight="15" x14ac:dyDescent="0.25"/>
  <sheetData>
    <row r="3" spans="2:19" x14ac:dyDescent="0.25">
      <c r="B3" s="98"/>
      <c r="C3" s="99"/>
      <c r="D3" s="99"/>
      <c r="E3" s="99"/>
      <c r="F3" s="99"/>
      <c r="G3" s="99"/>
      <c r="H3" s="99"/>
      <c r="I3" s="99"/>
      <c r="J3" s="99"/>
      <c r="K3" s="99"/>
      <c r="L3" s="99"/>
      <c r="M3" s="99"/>
      <c r="N3" s="99"/>
      <c r="O3" s="99"/>
      <c r="P3" s="99"/>
      <c r="Q3" s="99"/>
      <c r="R3" s="99"/>
      <c r="S3" s="100"/>
    </row>
    <row r="4" spans="2:19" x14ac:dyDescent="0.25">
      <c r="B4" s="101"/>
      <c r="C4" s="102"/>
      <c r="D4" s="102"/>
      <c r="E4" s="102"/>
      <c r="F4" s="102"/>
      <c r="G4" s="102"/>
      <c r="H4" s="102"/>
      <c r="I4" s="102"/>
      <c r="J4" s="102"/>
      <c r="K4" s="102"/>
      <c r="L4" s="103"/>
      <c r="M4" s="103"/>
      <c r="N4" s="103"/>
      <c r="O4" s="103"/>
      <c r="P4" s="103"/>
      <c r="Q4" s="103"/>
      <c r="R4" s="103"/>
      <c r="S4" s="104"/>
    </row>
    <row r="5" spans="2:19" x14ac:dyDescent="0.25">
      <c r="B5" s="101"/>
      <c r="C5" s="102"/>
      <c r="D5" s="102"/>
      <c r="E5" s="102"/>
      <c r="F5" s="102"/>
      <c r="G5" s="102"/>
      <c r="H5" s="102"/>
      <c r="I5" s="102"/>
      <c r="J5" s="102"/>
      <c r="K5" s="102"/>
      <c r="L5" s="102"/>
      <c r="M5" s="102"/>
      <c r="N5" s="102"/>
      <c r="O5" s="102"/>
      <c r="P5" s="102"/>
      <c r="Q5" s="102"/>
      <c r="R5" s="102"/>
      <c r="S5" s="104"/>
    </row>
    <row r="6" spans="2:19" x14ac:dyDescent="0.25">
      <c r="B6" s="101"/>
      <c r="C6" s="102"/>
      <c r="D6" s="102"/>
      <c r="E6" s="102"/>
      <c r="F6" s="102"/>
      <c r="G6" s="102"/>
      <c r="H6" s="102"/>
      <c r="I6" s="102"/>
      <c r="J6" s="102"/>
      <c r="K6" s="102"/>
      <c r="L6" s="102"/>
      <c r="M6" s="102"/>
      <c r="N6" s="102"/>
      <c r="O6" s="102"/>
      <c r="P6" s="102"/>
      <c r="Q6" s="102"/>
      <c r="R6" s="102"/>
      <c r="S6" s="104"/>
    </row>
    <row r="7" spans="2:19" x14ac:dyDescent="0.25">
      <c r="B7" s="101"/>
      <c r="C7" s="102"/>
      <c r="D7" s="102"/>
      <c r="E7" s="102"/>
      <c r="F7" s="102"/>
      <c r="G7" s="102"/>
      <c r="H7" s="102"/>
      <c r="I7" s="102"/>
      <c r="J7" s="105"/>
      <c r="K7" s="105"/>
      <c r="L7" s="103"/>
      <c r="M7" s="103"/>
      <c r="N7" s="103"/>
      <c r="O7" s="103"/>
      <c r="P7" s="103"/>
      <c r="Q7" s="103"/>
      <c r="R7" s="103"/>
      <c r="S7" s="104"/>
    </row>
    <row r="8" spans="2:19" x14ac:dyDescent="0.25">
      <c r="B8" s="101"/>
      <c r="C8" s="102"/>
      <c r="D8" s="102"/>
      <c r="E8" s="102"/>
      <c r="F8" s="102"/>
      <c r="G8" s="102"/>
      <c r="H8" s="102"/>
      <c r="I8" s="102"/>
      <c r="J8" s="106"/>
      <c r="K8" s="103"/>
      <c r="L8" s="103"/>
      <c r="M8" s="103"/>
      <c r="N8" s="103"/>
      <c r="O8" s="103"/>
      <c r="P8" s="103"/>
      <c r="Q8" s="103"/>
      <c r="R8" s="103"/>
      <c r="S8" s="104"/>
    </row>
    <row r="9" spans="2:19" x14ac:dyDescent="0.25">
      <c r="B9" s="101"/>
      <c r="C9" s="106"/>
      <c r="D9" s="107"/>
      <c r="E9" s="107"/>
      <c r="F9" s="107"/>
      <c r="G9" s="107"/>
      <c r="H9" s="107"/>
      <c r="I9" s="107"/>
      <c r="J9" s="107"/>
      <c r="K9" s="107"/>
      <c r="L9" s="103"/>
      <c r="M9" s="103"/>
      <c r="N9" s="103"/>
      <c r="O9" s="103"/>
      <c r="P9" s="103"/>
      <c r="Q9" s="103"/>
      <c r="R9" s="103"/>
      <c r="S9" s="104"/>
    </row>
    <row r="10" spans="2:19" x14ac:dyDescent="0.25">
      <c r="B10" s="101"/>
      <c r="C10" s="102"/>
      <c r="D10" s="102"/>
      <c r="E10" s="102"/>
      <c r="F10" s="102"/>
      <c r="G10" s="102"/>
      <c r="H10" s="102"/>
      <c r="I10" s="102"/>
      <c r="J10" s="102"/>
      <c r="K10" s="102"/>
      <c r="L10" s="102"/>
      <c r="M10" s="102"/>
      <c r="N10" s="102"/>
      <c r="O10" s="102"/>
      <c r="P10" s="102"/>
      <c r="Q10" s="102"/>
      <c r="R10" s="102"/>
      <c r="S10" s="104"/>
    </row>
    <row r="11" spans="2:19" x14ac:dyDescent="0.25">
      <c r="B11" s="101"/>
      <c r="C11" s="82" t="s">
        <v>50</v>
      </c>
      <c r="D11" s="492">
        <f>'Navigation Page'!D16:G16</f>
        <v>0</v>
      </c>
      <c r="E11" s="493"/>
      <c r="F11" s="493"/>
      <c r="G11" s="493"/>
      <c r="H11" s="108" t="s">
        <v>81</v>
      </c>
      <c r="I11" s="109">
        <f>'Navigation Page'!I16</f>
        <v>0</v>
      </c>
      <c r="J11" s="85" t="s">
        <v>52</v>
      </c>
      <c r="K11" s="494">
        <f>'Navigation Page'!K16:M16</f>
        <v>0</v>
      </c>
      <c r="L11" s="495"/>
      <c r="M11" s="495"/>
      <c r="N11" s="495"/>
      <c r="O11" s="496" t="s">
        <v>53</v>
      </c>
      <c r="P11" s="497"/>
      <c r="Q11" s="495">
        <f>'Navigation Page'!O16</f>
        <v>0</v>
      </c>
      <c r="R11" s="498"/>
      <c r="S11" s="104"/>
    </row>
    <row r="12" spans="2:19" x14ac:dyDescent="0.25">
      <c r="B12" s="101"/>
      <c r="C12" s="88" t="s">
        <v>54</v>
      </c>
      <c r="D12" s="492">
        <f>'Navigation Page'!D17:G17</f>
        <v>0</v>
      </c>
      <c r="E12" s="493"/>
      <c r="F12" s="493"/>
      <c r="G12" s="493"/>
      <c r="H12" s="110" t="s">
        <v>55</v>
      </c>
      <c r="I12" s="111">
        <f ca="1">'Navigation Page'!I17</f>
        <v>42251</v>
      </c>
      <c r="J12" s="91" t="s">
        <v>56</v>
      </c>
      <c r="K12" s="112">
        <f>'Navigation Page'!K17</f>
        <v>0</v>
      </c>
      <c r="L12" s="93" t="s">
        <v>83</v>
      </c>
      <c r="M12" s="499">
        <f>'Navigation Page'!M17</f>
        <v>0</v>
      </c>
      <c r="N12" s="500"/>
      <c r="O12" s="501" t="s">
        <v>58</v>
      </c>
      <c r="P12" s="502"/>
      <c r="Q12" s="495">
        <f>'Navigation Page'!O17+1</f>
        <v>2</v>
      </c>
      <c r="R12" s="498"/>
      <c r="S12" s="104"/>
    </row>
    <row r="13" spans="2:19" x14ac:dyDescent="0.25">
      <c r="B13" s="101"/>
      <c r="C13" s="103"/>
      <c r="D13" s="103"/>
      <c r="E13" s="103"/>
      <c r="F13" s="103"/>
      <c r="G13" s="103"/>
      <c r="H13" s="103"/>
      <c r="I13" s="103"/>
      <c r="J13" s="103"/>
      <c r="K13" s="103"/>
      <c r="L13" s="103"/>
      <c r="M13" s="103"/>
      <c r="N13" s="103"/>
      <c r="O13" s="103"/>
      <c r="P13" s="103"/>
      <c r="Q13" s="103"/>
      <c r="R13" s="103"/>
      <c r="S13" s="104"/>
    </row>
    <row r="14" spans="2:19" ht="18.75" x14ac:dyDescent="0.3">
      <c r="B14" s="101"/>
      <c r="C14" s="113" t="s">
        <v>85</v>
      </c>
      <c r="D14" s="103"/>
      <c r="E14" s="103"/>
      <c r="F14" s="103"/>
      <c r="G14" s="103"/>
      <c r="H14" s="103"/>
      <c r="I14" s="103"/>
      <c r="J14" s="114"/>
      <c r="K14" s="103"/>
      <c r="L14" s="103"/>
      <c r="M14" s="103"/>
      <c r="N14" s="103"/>
      <c r="O14" s="103"/>
      <c r="P14" s="103"/>
      <c r="Q14" s="103"/>
      <c r="R14" s="103"/>
      <c r="S14" s="104"/>
    </row>
    <row r="15" spans="2:19" x14ac:dyDescent="0.25">
      <c r="B15" s="101"/>
      <c r="C15" s="114"/>
      <c r="D15" s="114"/>
      <c r="E15" s="114"/>
      <c r="F15" s="114"/>
      <c r="G15" s="114"/>
      <c r="H15" s="114"/>
      <c r="I15" s="114"/>
      <c r="J15" s="114"/>
      <c r="K15" s="114"/>
      <c r="L15" s="114"/>
      <c r="M15" s="114"/>
      <c r="N15" s="114"/>
      <c r="O15" s="114"/>
      <c r="P15" s="114"/>
      <c r="Q15" s="114"/>
      <c r="R15" s="103"/>
      <c r="S15" s="104"/>
    </row>
    <row r="16" spans="2:19" x14ac:dyDescent="0.25">
      <c r="B16" s="101"/>
      <c r="C16" s="114"/>
      <c r="D16" s="114"/>
      <c r="E16" s="114"/>
      <c r="F16" s="114"/>
      <c r="G16" s="114"/>
      <c r="H16" s="114"/>
      <c r="I16" s="114"/>
      <c r="J16" s="114"/>
      <c r="K16" s="103"/>
      <c r="L16" s="103"/>
      <c r="M16" s="103"/>
      <c r="N16" s="103"/>
      <c r="O16" s="103"/>
      <c r="P16" s="103"/>
      <c r="Q16" s="103"/>
      <c r="R16" s="103"/>
      <c r="S16" s="104"/>
    </row>
    <row r="17" spans="2:19" x14ac:dyDescent="0.25">
      <c r="B17" s="101"/>
      <c r="C17" s="115" t="s">
        <v>96</v>
      </c>
      <c r="D17" s="106"/>
      <c r="E17" s="106"/>
      <c r="F17" s="106"/>
      <c r="G17" s="106"/>
      <c r="H17" s="116"/>
      <c r="I17" s="117"/>
      <c r="J17" s="106" t="s">
        <v>4</v>
      </c>
      <c r="K17" s="103"/>
      <c r="L17" s="103"/>
      <c r="M17" s="103"/>
      <c r="N17" s="103"/>
      <c r="O17" s="103"/>
      <c r="P17" s="103"/>
      <c r="Q17" s="103"/>
      <c r="R17" s="103"/>
      <c r="S17" s="104"/>
    </row>
    <row r="18" spans="2:19" x14ac:dyDescent="0.25">
      <c r="B18" s="101"/>
      <c r="C18" s="106" t="s">
        <v>97</v>
      </c>
      <c r="D18" s="106"/>
      <c r="E18" s="106"/>
      <c r="F18" s="106"/>
      <c r="G18" s="106"/>
      <c r="H18" s="116"/>
      <c r="I18" s="118"/>
      <c r="J18" s="106" t="s">
        <v>4</v>
      </c>
      <c r="K18" s="103"/>
      <c r="L18" s="103"/>
      <c r="M18" s="103"/>
      <c r="N18" s="103"/>
      <c r="O18" s="103"/>
      <c r="P18" s="103"/>
      <c r="Q18" s="103"/>
      <c r="R18" s="103"/>
      <c r="S18" s="104"/>
    </row>
    <row r="19" spans="2:19" x14ac:dyDescent="0.25">
      <c r="B19" s="101"/>
      <c r="C19" s="119" t="s">
        <v>98</v>
      </c>
      <c r="D19" s="119"/>
      <c r="E19" s="119"/>
      <c r="F19" s="119"/>
      <c r="G19" s="119"/>
      <c r="H19" s="116"/>
      <c r="I19" s="117"/>
      <c r="J19" s="106" t="s">
        <v>4</v>
      </c>
      <c r="K19" s="103"/>
      <c r="L19" s="103"/>
      <c r="M19" s="103"/>
      <c r="N19" s="103"/>
      <c r="O19" s="103"/>
      <c r="P19" s="103"/>
      <c r="Q19" s="103"/>
      <c r="R19" s="103"/>
      <c r="S19" s="104"/>
    </row>
    <row r="20" spans="2:19" x14ac:dyDescent="0.25">
      <c r="B20" s="101"/>
      <c r="C20" s="119" t="s">
        <v>99</v>
      </c>
      <c r="D20" s="119"/>
      <c r="E20" s="119"/>
      <c r="F20" s="119"/>
      <c r="G20" s="120"/>
      <c r="H20" s="116"/>
      <c r="I20" s="121">
        <f>'6399 S'!G8</f>
        <v>0</v>
      </c>
      <c r="J20" s="106" t="s">
        <v>4</v>
      </c>
      <c r="K20" s="103"/>
      <c r="L20" s="103"/>
      <c r="M20" s="103"/>
      <c r="N20" s="103"/>
      <c r="O20" s="103"/>
      <c r="P20" s="103"/>
      <c r="Q20" s="103"/>
      <c r="R20" s="103"/>
      <c r="S20" s="104"/>
    </row>
    <row r="21" spans="2:19" x14ac:dyDescent="0.25">
      <c r="B21" s="101"/>
      <c r="C21" s="120"/>
      <c r="D21" s="120"/>
      <c r="E21" s="120"/>
      <c r="F21" s="120"/>
      <c r="G21" s="120"/>
      <c r="H21" s="116"/>
      <c r="I21" s="103"/>
      <c r="J21" s="106"/>
      <c r="K21" s="103"/>
      <c r="L21" s="103"/>
      <c r="M21" s="103"/>
      <c r="N21" s="103"/>
      <c r="O21" s="103"/>
      <c r="P21" s="103"/>
      <c r="Q21" s="103"/>
      <c r="R21" s="103"/>
      <c r="S21" s="104"/>
    </row>
    <row r="22" spans="2:19" x14ac:dyDescent="0.25">
      <c r="B22" s="101"/>
      <c r="C22" s="119" t="s">
        <v>100</v>
      </c>
      <c r="D22" s="119"/>
      <c r="E22" s="119"/>
      <c r="F22" s="120"/>
      <c r="G22" s="120"/>
      <c r="H22" s="116"/>
      <c r="I22" s="122"/>
      <c r="J22" s="106" t="s">
        <v>101</v>
      </c>
      <c r="K22" s="103"/>
      <c r="L22" s="103"/>
      <c r="M22" s="103"/>
      <c r="N22" s="103"/>
      <c r="O22" s="103"/>
      <c r="P22" s="103"/>
      <c r="Q22" s="103"/>
      <c r="R22" s="103"/>
      <c r="S22" s="104"/>
    </row>
    <row r="23" spans="2:19" x14ac:dyDescent="0.25">
      <c r="B23" s="101"/>
      <c r="C23" s="120" t="s">
        <v>102</v>
      </c>
      <c r="D23" s="120"/>
      <c r="E23" s="120"/>
      <c r="F23" s="120"/>
      <c r="G23" s="120"/>
      <c r="H23" s="116"/>
      <c r="I23" s="117"/>
      <c r="J23" s="106" t="s">
        <v>4</v>
      </c>
      <c r="K23" s="103"/>
      <c r="L23" s="103"/>
      <c r="M23" s="103"/>
      <c r="N23" s="103"/>
      <c r="O23" s="103"/>
      <c r="P23" s="103"/>
      <c r="Q23" s="103"/>
      <c r="R23" s="103"/>
      <c r="S23" s="104"/>
    </row>
    <row r="24" spans="2:19" x14ac:dyDescent="0.25">
      <c r="B24" s="101"/>
      <c r="C24" s="119" t="s">
        <v>103</v>
      </c>
      <c r="D24" s="119"/>
      <c r="E24" s="119"/>
      <c r="F24" s="123"/>
      <c r="G24" s="123"/>
      <c r="H24" s="116"/>
      <c r="I24" s="124">
        <f>'6399 S'!G12</f>
        <v>1</v>
      </c>
      <c r="J24" s="106"/>
      <c r="K24" s="103"/>
      <c r="L24" s="103"/>
      <c r="M24" s="103"/>
      <c r="N24" s="103"/>
      <c r="O24" s="103"/>
      <c r="P24" s="103"/>
      <c r="Q24" s="103"/>
      <c r="R24" s="103"/>
      <c r="S24" s="104"/>
    </row>
    <row r="25" spans="2:19" x14ac:dyDescent="0.25">
      <c r="B25" s="101"/>
      <c r="C25" s="119" t="s">
        <v>104</v>
      </c>
      <c r="D25" s="119"/>
      <c r="E25" s="125"/>
      <c r="F25" s="126" t="s">
        <v>105</v>
      </c>
      <c r="G25" s="103"/>
      <c r="H25" s="116"/>
      <c r="I25" s="103">
        <f>'6399 S'!L3</f>
        <v>270</v>
      </c>
      <c r="J25" s="106"/>
      <c r="K25" s="103"/>
      <c r="L25" s="103"/>
      <c r="M25" s="103"/>
      <c r="N25" s="103"/>
      <c r="O25" s="103"/>
      <c r="P25" s="103"/>
      <c r="Q25" s="103"/>
      <c r="R25" s="103"/>
      <c r="S25" s="104"/>
    </row>
    <row r="26" spans="2:19" x14ac:dyDescent="0.25">
      <c r="B26" s="101"/>
      <c r="C26" s="127" t="s">
        <v>106</v>
      </c>
      <c r="D26" s="127"/>
      <c r="E26" s="127"/>
      <c r="F26" s="103"/>
      <c r="G26" s="103"/>
      <c r="H26" s="116"/>
      <c r="I26" s="128">
        <f>'6399 S'!G14</f>
        <v>0.99</v>
      </c>
      <c r="J26" s="106"/>
      <c r="K26" s="103"/>
      <c r="L26" s="103"/>
      <c r="M26" s="103"/>
      <c r="N26" s="103"/>
      <c r="O26" s="103"/>
      <c r="P26" s="103"/>
      <c r="Q26" s="103"/>
      <c r="R26" s="103"/>
      <c r="S26" s="104"/>
    </row>
    <row r="27" spans="2:19" x14ac:dyDescent="0.25">
      <c r="B27" s="101"/>
      <c r="C27" s="127" t="s">
        <v>107</v>
      </c>
      <c r="D27" s="127"/>
      <c r="E27" s="127"/>
      <c r="F27" s="103"/>
      <c r="G27" s="103"/>
      <c r="H27" s="116"/>
      <c r="I27" s="129">
        <v>1</v>
      </c>
      <c r="J27" s="106"/>
      <c r="K27" s="103"/>
      <c r="L27" s="103"/>
      <c r="M27" s="103"/>
      <c r="N27" s="103"/>
      <c r="O27" s="103"/>
      <c r="P27" s="103"/>
      <c r="Q27" s="103"/>
      <c r="R27" s="103"/>
      <c r="S27" s="104"/>
    </row>
    <row r="28" spans="2:19" x14ac:dyDescent="0.25">
      <c r="B28" s="101"/>
      <c r="C28" s="120" t="s">
        <v>108</v>
      </c>
      <c r="D28" s="120"/>
      <c r="E28" s="120"/>
      <c r="F28" s="103"/>
      <c r="G28" s="103"/>
      <c r="H28" s="116"/>
      <c r="I28" s="130">
        <v>50</v>
      </c>
      <c r="J28" s="106" t="s">
        <v>109</v>
      </c>
      <c r="K28" s="103"/>
      <c r="L28" s="103"/>
      <c r="M28" s="103"/>
      <c r="N28" s="103"/>
      <c r="O28" s="103"/>
      <c r="P28" s="103"/>
      <c r="Q28" s="103"/>
      <c r="R28" s="103"/>
      <c r="S28" s="104"/>
    </row>
    <row r="29" spans="2:19" x14ac:dyDescent="0.25">
      <c r="B29" s="101"/>
      <c r="C29" s="119" t="s">
        <v>110</v>
      </c>
      <c r="D29" s="119"/>
      <c r="E29" s="119"/>
      <c r="F29" s="103"/>
      <c r="G29" s="103"/>
      <c r="H29" s="116"/>
      <c r="I29" s="124">
        <f>'6399 S'!G17</f>
        <v>1</v>
      </c>
      <c r="J29" s="106"/>
      <c r="K29" s="103"/>
      <c r="L29" s="103"/>
      <c r="M29" s="103"/>
      <c r="N29" s="103"/>
      <c r="O29" s="103"/>
      <c r="P29" s="103"/>
      <c r="Q29" s="103"/>
      <c r="R29" s="103"/>
      <c r="S29" s="104"/>
    </row>
    <row r="30" spans="2:19" x14ac:dyDescent="0.25">
      <c r="B30" s="101"/>
      <c r="C30" s="119" t="s">
        <v>111</v>
      </c>
      <c r="D30" s="119"/>
      <c r="E30" s="119"/>
      <c r="F30" s="103"/>
      <c r="G30" s="103"/>
      <c r="H30" s="116"/>
      <c r="I30" s="128">
        <f>'6399 S'!G18</f>
        <v>0</v>
      </c>
      <c r="J30" s="106" t="s">
        <v>101</v>
      </c>
      <c r="K30" s="103"/>
      <c r="L30" s="103"/>
      <c r="M30" s="103"/>
      <c r="N30" s="103"/>
      <c r="O30" s="103"/>
      <c r="P30" s="103"/>
      <c r="Q30" s="103"/>
      <c r="R30" s="103"/>
      <c r="S30" s="104"/>
    </row>
    <row r="31" spans="2:19" x14ac:dyDescent="0.25">
      <c r="B31" s="101"/>
      <c r="C31" s="123"/>
      <c r="D31" s="123"/>
      <c r="E31" s="123"/>
      <c r="F31" s="103"/>
      <c r="G31" s="103"/>
      <c r="H31" s="116"/>
      <c r="I31" s="103"/>
      <c r="J31" s="106"/>
      <c r="K31" s="103"/>
      <c r="L31" s="103"/>
      <c r="M31" s="103"/>
      <c r="N31" s="103"/>
      <c r="O31" s="103"/>
      <c r="P31" s="103"/>
      <c r="Q31" s="103"/>
      <c r="R31" s="103"/>
      <c r="S31" s="104"/>
    </row>
    <row r="32" spans="2:19" x14ac:dyDescent="0.25">
      <c r="B32" s="101"/>
      <c r="C32" s="119" t="s">
        <v>112</v>
      </c>
      <c r="D32" s="119"/>
      <c r="E32" s="131"/>
      <c r="F32" s="126" t="s">
        <v>141</v>
      </c>
      <c r="G32" s="103"/>
      <c r="H32" s="116"/>
      <c r="I32" s="132" t="str">
        <f>'6399 S'!P3</f>
        <v>C</v>
      </c>
      <c r="J32" s="106"/>
      <c r="K32" s="103"/>
      <c r="L32" s="103"/>
      <c r="M32" s="103"/>
      <c r="N32" s="103"/>
      <c r="O32" s="103"/>
      <c r="P32" s="103"/>
      <c r="Q32" s="103"/>
      <c r="R32" s="103"/>
      <c r="S32" s="104"/>
    </row>
    <row r="33" spans="2:19" x14ac:dyDescent="0.25">
      <c r="B33" s="101"/>
      <c r="C33" s="120" t="s">
        <v>114</v>
      </c>
      <c r="D33" s="120"/>
      <c r="E33" s="123"/>
      <c r="F33" s="103"/>
      <c r="G33" s="103"/>
      <c r="H33" s="116"/>
      <c r="I33" s="133"/>
      <c r="J33" s="106" t="s">
        <v>115</v>
      </c>
      <c r="K33" s="103"/>
      <c r="L33" s="103"/>
      <c r="M33" s="103"/>
      <c r="N33" s="103"/>
      <c r="O33" s="103"/>
      <c r="P33" s="103"/>
      <c r="Q33" s="103"/>
      <c r="R33" s="103"/>
      <c r="S33" s="104"/>
    </row>
    <row r="34" spans="2:19" x14ac:dyDescent="0.25">
      <c r="B34" s="101"/>
      <c r="C34" s="119" t="s">
        <v>116</v>
      </c>
      <c r="D34" s="119"/>
      <c r="E34" s="131"/>
      <c r="F34" s="131"/>
      <c r="G34" s="103"/>
      <c r="H34" s="116"/>
      <c r="I34" s="124">
        <f>'6399 S'!G22</f>
        <v>0</v>
      </c>
      <c r="J34" s="106"/>
      <c r="K34" s="103"/>
      <c r="L34" s="103"/>
      <c r="M34" s="103"/>
      <c r="N34" s="103"/>
      <c r="O34" s="103"/>
      <c r="P34" s="103"/>
      <c r="Q34" s="103"/>
      <c r="R34" s="103"/>
      <c r="S34" s="104"/>
    </row>
    <row r="35" spans="2:19" x14ac:dyDescent="0.25">
      <c r="B35" s="101"/>
      <c r="C35" s="120"/>
      <c r="D35" s="120"/>
      <c r="E35" s="123"/>
      <c r="F35" s="123"/>
      <c r="G35" s="103"/>
      <c r="H35" s="116"/>
      <c r="I35" s="103"/>
      <c r="J35" s="106"/>
      <c r="K35" s="103"/>
      <c r="L35" s="103"/>
      <c r="M35" s="103"/>
      <c r="N35" s="103"/>
      <c r="O35" s="103"/>
      <c r="P35" s="103"/>
      <c r="Q35" s="103"/>
      <c r="R35" s="103"/>
      <c r="S35" s="104"/>
    </row>
    <row r="36" spans="2:19" x14ac:dyDescent="0.25">
      <c r="B36" s="101"/>
      <c r="C36" s="119" t="s">
        <v>117</v>
      </c>
      <c r="D36" s="119"/>
      <c r="E36" s="131"/>
      <c r="F36" s="131"/>
      <c r="G36" s="103"/>
      <c r="H36" s="116"/>
      <c r="I36" s="128">
        <f>'6399 S'!G24</f>
        <v>0</v>
      </c>
      <c r="J36" s="106" t="s">
        <v>101</v>
      </c>
      <c r="K36" s="103"/>
      <c r="L36" s="103"/>
      <c r="M36" s="103"/>
      <c r="N36" s="103"/>
      <c r="O36" s="103"/>
      <c r="P36" s="103"/>
      <c r="Q36" s="103"/>
      <c r="R36" s="103"/>
      <c r="S36" s="104"/>
    </row>
    <row r="37" spans="2:19" ht="17.25" x14ac:dyDescent="0.25">
      <c r="B37" s="101"/>
      <c r="C37" s="119" t="s">
        <v>118</v>
      </c>
      <c r="D37" s="119"/>
      <c r="E37" s="131"/>
      <c r="F37" s="131"/>
      <c r="G37" s="103"/>
      <c r="H37" s="116"/>
      <c r="I37" s="128">
        <f>'6399 S'!G25</f>
        <v>0</v>
      </c>
      <c r="J37" s="106" t="s">
        <v>119</v>
      </c>
      <c r="K37" s="103"/>
      <c r="L37" s="103"/>
      <c r="M37" s="103"/>
      <c r="N37" s="103"/>
      <c r="O37" s="103"/>
      <c r="P37" s="103"/>
      <c r="Q37" s="103"/>
      <c r="R37" s="103"/>
      <c r="S37" s="104"/>
    </row>
    <row r="38" spans="2:19" x14ac:dyDescent="0.25">
      <c r="B38" s="101"/>
      <c r="C38" s="120"/>
      <c r="D38" s="120"/>
      <c r="E38" s="123"/>
      <c r="F38" s="123"/>
      <c r="G38" s="103"/>
      <c r="H38" s="116"/>
      <c r="I38" s="103"/>
      <c r="J38" s="106"/>
      <c r="K38" s="103"/>
      <c r="L38" s="103"/>
      <c r="M38" s="103"/>
      <c r="N38" s="103"/>
      <c r="O38" s="103"/>
      <c r="P38" s="103"/>
      <c r="Q38" s="103"/>
      <c r="R38" s="103"/>
      <c r="S38" s="104"/>
    </row>
    <row r="39" spans="2:19" x14ac:dyDescent="0.25">
      <c r="B39" s="101"/>
      <c r="C39" s="119" t="s">
        <v>120</v>
      </c>
      <c r="D39" s="119"/>
      <c r="E39" s="131"/>
      <c r="F39" s="131"/>
      <c r="G39" s="103"/>
      <c r="H39" s="116"/>
      <c r="I39" s="117"/>
      <c r="J39" s="106" t="s">
        <v>4</v>
      </c>
      <c r="K39" s="103"/>
      <c r="L39" s="103"/>
      <c r="M39" s="103"/>
      <c r="N39" s="103"/>
      <c r="O39" s="103"/>
      <c r="P39" s="103"/>
      <c r="Q39" s="103"/>
      <c r="R39" s="103"/>
      <c r="S39" s="104"/>
    </row>
    <row r="40" spans="2:19" x14ac:dyDescent="0.25">
      <c r="B40" s="101"/>
      <c r="C40" s="119" t="s">
        <v>121</v>
      </c>
      <c r="D40" s="119"/>
      <c r="E40" s="131"/>
      <c r="F40" s="131"/>
      <c r="G40" s="103"/>
      <c r="H40" s="116"/>
      <c r="I40" s="117"/>
      <c r="J40" s="106" t="s">
        <v>4</v>
      </c>
      <c r="K40" s="103"/>
      <c r="L40" s="103"/>
      <c r="M40" s="103"/>
      <c r="N40" s="103"/>
      <c r="O40" s="103"/>
      <c r="P40" s="103"/>
      <c r="Q40" s="103"/>
      <c r="R40" s="103"/>
      <c r="S40" s="104"/>
    </row>
    <row r="41" spans="2:19" x14ac:dyDescent="0.25">
      <c r="B41" s="101"/>
      <c r="C41" s="119" t="s">
        <v>122</v>
      </c>
      <c r="D41" s="119"/>
      <c r="E41" s="131"/>
      <c r="F41" s="131"/>
      <c r="G41" s="103"/>
      <c r="H41" s="116"/>
      <c r="I41" s="103">
        <f>'6399 S'!G29</f>
        <v>0</v>
      </c>
      <c r="J41" s="106" t="s">
        <v>4</v>
      </c>
      <c r="K41" s="103"/>
      <c r="L41" s="103"/>
      <c r="M41" s="103"/>
      <c r="N41" s="103"/>
      <c r="O41" s="103"/>
      <c r="P41" s="103"/>
      <c r="Q41" s="103"/>
      <c r="R41" s="103"/>
      <c r="S41" s="104"/>
    </row>
    <row r="42" spans="2:19" x14ac:dyDescent="0.25">
      <c r="B42" s="101"/>
      <c r="C42" s="120" t="s">
        <v>123</v>
      </c>
      <c r="D42" s="120"/>
      <c r="E42" s="123"/>
      <c r="F42" s="123"/>
      <c r="G42" s="103"/>
      <c r="H42" s="116"/>
      <c r="I42" s="128" t="e">
        <f>'6399 S'!G30</f>
        <v>#DIV/0!</v>
      </c>
      <c r="J42" s="106"/>
      <c r="K42" s="103"/>
      <c r="L42" s="103"/>
      <c r="M42" s="103"/>
      <c r="N42" s="103"/>
      <c r="O42" s="103"/>
      <c r="P42" s="103"/>
      <c r="Q42" s="103"/>
      <c r="R42" s="103"/>
      <c r="S42" s="104"/>
    </row>
    <row r="43" spans="2:19" x14ac:dyDescent="0.25">
      <c r="B43" s="101"/>
      <c r="C43" s="120" t="s">
        <v>124</v>
      </c>
      <c r="D43" s="120"/>
      <c r="E43" s="123"/>
      <c r="F43" s="123"/>
      <c r="G43" s="103"/>
      <c r="H43" s="116"/>
      <c r="I43" s="117"/>
      <c r="J43" s="106" t="s">
        <v>4</v>
      </c>
      <c r="K43" s="102"/>
      <c r="L43" s="102"/>
      <c r="M43" s="102"/>
      <c r="N43" s="102"/>
      <c r="O43" s="102"/>
      <c r="P43" s="102"/>
      <c r="Q43" s="103"/>
      <c r="R43" s="103"/>
      <c r="S43" s="104"/>
    </row>
    <row r="44" spans="2:19" x14ac:dyDescent="0.25">
      <c r="B44" s="101"/>
      <c r="C44" s="106"/>
      <c r="D44" s="106"/>
      <c r="E44" s="103"/>
      <c r="F44" s="103"/>
      <c r="G44" s="103"/>
      <c r="H44" s="134"/>
      <c r="I44" s="116" t="str">
        <f>'6399 S'!F32</f>
        <v>Funnelling is expected</v>
      </c>
      <c r="J44" s="103"/>
      <c r="K44" s="102"/>
      <c r="L44" s="102"/>
      <c r="M44" s="102"/>
      <c r="N44" s="102"/>
      <c r="O44" s="102"/>
      <c r="P44" s="102"/>
      <c r="Q44" s="103"/>
      <c r="R44" s="103"/>
      <c r="S44" s="104"/>
    </row>
    <row r="45" spans="2:19" x14ac:dyDescent="0.25">
      <c r="B45" s="101"/>
      <c r="C45" s="102"/>
      <c r="D45" s="102"/>
      <c r="E45" s="102"/>
      <c r="F45" s="102"/>
      <c r="G45" s="102"/>
      <c r="H45" s="102"/>
      <c r="I45" s="102"/>
      <c r="J45" s="102"/>
      <c r="K45" s="102"/>
      <c r="L45" s="102"/>
      <c r="M45" s="102"/>
      <c r="N45" s="102"/>
      <c r="O45" s="102"/>
      <c r="P45" s="102"/>
      <c r="Q45" s="103"/>
      <c r="R45" s="103"/>
      <c r="S45" s="104"/>
    </row>
    <row r="46" spans="2:19" x14ac:dyDescent="0.25">
      <c r="B46" s="101"/>
      <c r="C46" s="102"/>
      <c r="D46" s="102"/>
      <c r="E46" s="102"/>
      <c r="F46" s="102"/>
      <c r="G46" s="102"/>
      <c r="H46" s="102"/>
      <c r="I46" s="102"/>
      <c r="J46" s="102"/>
      <c r="K46" s="102"/>
      <c r="L46" s="102"/>
      <c r="M46" s="102"/>
      <c r="N46" s="102"/>
      <c r="O46" s="102"/>
      <c r="P46" s="102"/>
      <c r="Q46" s="103"/>
      <c r="R46" s="103"/>
      <c r="S46" s="104"/>
    </row>
    <row r="47" spans="2:19" x14ac:dyDescent="0.25">
      <c r="B47" s="101"/>
      <c r="C47" s="102"/>
      <c r="D47" s="102"/>
      <c r="E47" s="102"/>
      <c r="F47" s="102"/>
      <c r="G47" s="102"/>
      <c r="H47" s="102"/>
      <c r="I47" s="102"/>
      <c r="J47" s="102"/>
      <c r="K47" s="102"/>
      <c r="L47" s="102"/>
      <c r="M47" s="102"/>
      <c r="N47" s="102"/>
      <c r="O47" s="102"/>
      <c r="P47" s="102"/>
      <c r="Q47" s="103"/>
      <c r="R47" s="103"/>
      <c r="S47" s="104"/>
    </row>
    <row r="48" spans="2:19" x14ac:dyDescent="0.25">
      <c r="B48" s="101"/>
      <c r="C48" s="102"/>
      <c r="D48" s="102"/>
      <c r="E48" s="102"/>
      <c r="F48" s="102"/>
      <c r="G48" s="102"/>
      <c r="H48" s="102"/>
      <c r="I48" s="102"/>
      <c r="J48" s="102"/>
      <c r="K48" s="102"/>
      <c r="L48" s="102"/>
      <c r="M48" s="102"/>
      <c r="N48" s="102"/>
      <c r="O48" s="102"/>
      <c r="P48" s="102"/>
      <c r="Q48" s="103"/>
      <c r="R48" s="103"/>
      <c r="S48" s="104"/>
    </row>
    <row r="49" spans="2:19" x14ac:dyDescent="0.25">
      <c r="B49" s="101"/>
      <c r="C49" s="102"/>
      <c r="D49" s="102"/>
      <c r="E49" s="102"/>
      <c r="F49" s="102"/>
      <c r="G49" s="102"/>
      <c r="H49" s="102"/>
      <c r="I49" s="102"/>
      <c r="J49" s="102"/>
      <c r="K49" s="102"/>
      <c r="L49" s="102"/>
      <c r="M49" s="102"/>
      <c r="N49" s="102"/>
      <c r="O49" s="102"/>
      <c r="P49" s="102"/>
      <c r="Q49" s="103"/>
      <c r="R49" s="103"/>
      <c r="S49" s="104"/>
    </row>
    <row r="50" spans="2:19" x14ac:dyDescent="0.25">
      <c r="B50" s="101"/>
      <c r="C50" s="102"/>
      <c r="D50" s="102"/>
      <c r="E50" s="102"/>
      <c r="F50" s="102"/>
      <c r="G50" s="102"/>
      <c r="H50" s="102"/>
      <c r="I50" s="102"/>
      <c r="J50" s="102"/>
      <c r="K50" s="102"/>
      <c r="L50" s="102"/>
      <c r="M50" s="102"/>
      <c r="N50" s="102"/>
      <c r="O50" s="102"/>
      <c r="P50" s="102"/>
      <c r="Q50" s="103"/>
      <c r="R50" s="103"/>
      <c r="S50" s="104"/>
    </row>
    <row r="51" spans="2:19" x14ac:dyDescent="0.25">
      <c r="B51" s="101"/>
      <c r="C51" s="103"/>
      <c r="D51" s="103"/>
      <c r="E51" s="103"/>
      <c r="F51" s="103"/>
      <c r="G51" s="103"/>
      <c r="H51" s="103"/>
      <c r="I51" s="103"/>
      <c r="J51" s="103"/>
      <c r="K51" s="103"/>
      <c r="L51" s="103"/>
      <c r="M51" s="103"/>
      <c r="N51" s="103"/>
      <c r="O51" s="103"/>
      <c r="P51" s="103"/>
      <c r="Q51" s="103"/>
      <c r="R51" s="103"/>
      <c r="S51" s="104"/>
    </row>
    <row r="52" spans="2:19" x14ac:dyDescent="0.25">
      <c r="B52" s="101"/>
      <c r="C52" s="102"/>
      <c r="D52" s="135" t="s">
        <v>125</v>
      </c>
      <c r="E52" s="136" t="s">
        <v>126</v>
      </c>
      <c r="F52" s="137"/>
      <c r="G52" s="138"/>
      <c r="H52" s="99" t="s">
        <v>127</v>
      </c>
      <c r="I52" s="139"/>
      <c r="J52" s="98" t="s">
        <v>128</v>
      </c>
      <c r="K52" s="100"/>
      <c r="L52" s="504" t="s">
        <v>129</v>
      </c>
      <c r="M52" s="505"/>
      <c r="N52" s="140"/>
      <c r="O52" s="141" t="s">
        <v>125</v>
      </c>
      <c r="P52" s="141"/>
      <c r="Q52" s="100"/>
      <c r="R52" s="103"/>
      <c r="S52" s="104"/>
    </row>
    <row r="53" spans="2:19" ht="17.25" x14ac:dyDescent="0.25">
      <c r="B53" s="101"/>
      <c r="C53" s="102"/>
      <c r="D53" s="142"/>
      <c r="E53" s="143" t="s">
        <v>130</v>
      </c>
      <c r="F53" s="144"/>
      <c r="G53" s="145"/>
      <c r="H53" s="103" t="s">
        <v>131</v>
      </c>
      <c r="I53" s="102"/>
      <c r="J53" s="101" t="s">
        <v>132</v>
      </c>
      <c r="K53" s="103"/>
      <c r="L53" s="506" t="s">
        <v>133</v>
      </c>
      <c r="M53" s="507"/>
      <c r="N53" s="146"/>
      <c r="O53" s="147" t="s">
        <v>134</v>
      </c>
      <c r="P53" s="147"/>
      <c r="Q53" s="104"/>
      <c r="R53" s="103"/>
      <c r="S53" s="104"/>
    </row>
    <row r="54" spans="2:19" x14ac:dyDescent="0.25">
      <c r="B54" s="101"/>
      <c r="C54" s="102"/>
      <c r="D54" s="142"/>
      <c r="E54" s="148" t="s">
        <v>135</v>
      </c>
      <c r="F54" s="170"/>
      <c r="G54" s="150"/>
      <c r="H54" s="103" t="s">
        <v>136</v>
      </c>
      <c r="I54" s="145"/>
      <c r="J54" s="134"/>
      <c r="K54" s="151"/>
      <c r="L54" s="134"/>
      <c r="M54" s="102"/>
      <c r="N54" s="152"/>
      <c r="O54" s="153"/>
      <c r="P54" s="154"/>
      <c r="Q54" s="151"/>
      <c r="R54" s="103"/>
      <c r="S54" s="104"/>
    </row>
    <row r="55" spans="2:19" x14ac:dyDescent="0.25">
      <c r="B55" s="101"/>
      <c r="C55" s="102"/>
      <c r="D55" s="450" t="s">
        <v>137</v>
      </c>
      <c r="E55" s="157"/>
      <c r="F55" s="158" t="e">
        <f>'6399 S'!B36</f>
        <v>#DIV/0!</v>
      </c>
      <c r="G55" s="145"/>
      <c r="H55" s="508">
        <v>-0.3</v>
      </c>
      <c r="I55" s="509"/>
      <c r="J55" s="510" t="e">
        <f>'6399 S'!F36</f>
        <v>#DIV/0!</v>
      </c>
      <c r="K55" s="511"/>
      <c r="L55" s="155" t="e">
        <f>'6399 S'!G36</f>
        <v>#DIV/0!</v>
      </c>
      <c r="M55" s="156"/>
      <c r="N55" s="102"/>
      <c r="O55" s="161" t="s">
        <v>63</v>
      </c>
      <c r="P55" s="103"/>
      <c r="Q55" s="104"/>
      <c r="R55" s="103"/>
      <c r="S55" s="104"/>
    </row>
    <row r="56" spans="2:19" x14ac:dyDescent="0.25">
      <c r="B56" s="101"/>
      <c r="C56" s="102"/>
      <c r="D56" s="451" t="s">
        <v>138</v>
      </c>
      <c r="E56" s="157"/>
      <c r="F56" s="158">
        <f>'6399 S'!B37</f>
        <v>-1.6</v>
      </c>
      <c r="G56" s="145"/>
      <c r="H56" s="512">
        <v>0.2</v>
      </c>
      <c r="I56" s="513"/>
      <c r="J56" s="514">
        <f>'6399 S'!F37</f>
        <v>-1.8</v>
      </c>
      <c r="K56" s="515"/>
      <c r="L56" s="159">
        <f>'6399 S'!G37</f>
        <v>0</v>
      </c>
      <c r="M56" s="160"/>
      <c r="N56" s="102"/>
      <c r="O56" s="161">
        <f>'6399 S'!H37</f>
        <v>0</v>
      </c>
      <c r="P56" s="161"/>
      <c r="Q56" s="162"/>
      <c r="R56" s="103"/>
      <c r="S56" s="104"/>
    </row>
    <row r="57" spans="2:19" x14ac:dyDescent="0.25">
      <c r="B57" s="101"/>
      <c r="C57" s="102"/>
      <c r="D57" s="451" t="s">
        <v>139</v>
      </c>
      <c r="E57" s="157"/>
      <c r="F57" s="158">
        <f>'6399 S'!B38</f>
        <v>-0.9</v>
      </c>
      <c r="G57" s="145"/>
      <c r="H57" s="512">
        <v>0.2</v>
      </c>
      <c r="I57" s="513"/>
      <c r="J57" s="514">
        <f>'6399 S'!F38</f>
        <v>-1.1000000000000001</v>
      </c>
      <c r="K57" s="515"/>
      <c r="L57" s="159">
        <f>'6399 S'!G38</f>
        <v>0</v>
      </c>
      <c r="M57" s="160"/>
      <c r="N57" s="102"/>
      <c r="O57" s="161">
        <f>'6399 S'!H38</f>
        <v>0</v>
      </c>
      <c r="P57" s="161"/>
      <c r="Q57" s="162"/>
      <c r="R57" s="103"/>
      <c r="S57" s="104"/>
    </row>
    <row r="58" spans="2:19" x14ac:dyDescent="0.25">
      <c r="B58" s="146"/>
      <c r="C58" s="102"/>
      <c r="D58" s="163" t="s">
        <v>140</v>
      </c>
      <c r="E58" s="163"/>
      <c r="F58" s="164">
        <f>'6399 S'!B39</f>
        <v>-0.9</v>
      </c>
      <c r="G58" s="165"/>
      <c r="H58" s="516">
        <v>0.2</v>
      </c>
      <c r="I58" s="517"/>
      <c r="J58" s="518">
        <f>'6399 S'!F39</f>
        <v>-1.1000000000000001</v>
      </c>
      <c r="K58" s="519"/>
      <c r="L58" s="166">
        <f>'6399 S'!G39</f>
        <v>0</v>
      </c>
      <c r="M58" s="167"/>
      <c r="N58" s="168"/>
      <c r="O58" s="169">
        <f>'6399 S'!H39</f>
        <v>0</v>
      </c>
      <c r="P58" s="161"/>
      <c r="Q58" s="162"/>
      <c r="R58" s="102"/>
      <c r="S58" s="145"/>
    </row>
    <row r="59" spans="2:19" x14ac:dyDescent="0.25">
      <c r="B59" s="146"/>
      <c r="C59" s="102"/>
      <c r="D59" s="152"/>
      <c r="E59" s="152"/>
      <c r="F59" s="170"/>
      <c r="G59" s="149"/>
      <c r="H59" s="152"/>
      <c r="I59" s="149"/>
      <c r="J59" s="170"/>
      <c r="K59" s="149"/>
      <c r="L59" s="152"/>
      <c r="M59" s="149"/>
      <c r="N59" s="170"/>
      <c r="O59" s="170"/>
      <c r="P59" s="170"/>
      <c r="Q59" s="149"/>
      <c r="R59" s="102"/>
      <c r="S59" s="145"/>
    </row>
    <row r="60" spans="2:19" x14ac:dyDescent="0.25">
      <c r="B60" s="146"/>
      <c r="C60" s="102"/>
      <c r="D60" s="102"/>
      <c r="E60" s="102"/>
      <c r="F60" s="102"/>
      <c r="G60" s="102"/>
      <c r="H60" s="102"/>
      <c r="I60" s="102"/>
      <c r="J60" s="102"/>
      <c r="K60" s="102"/>
      <c r="L60" s="102"/>
      <c r="M60" s="102"/>
      <c r="N60" s="102"/>
      <c r="O60" s="102"/>
      <c r="P60" s="102"/>
      <c r="Q60" s="102"/>
      <c r="R60" s="102"/>
      <c r="S60" s="145"/>
    </row>
    <row r="61" spans="2:19" x14ac:dyDescent="0.25">
      <c r="B61" s="146"/>
      <c r="C61" s="102"/>
      <c r="D61" s="102"/>
      <c r="E61" s="102"/>
      <c r="F61" s="102"/>
      <c r="G61" s="102"/>
      <c r="H61" s="102"/>
      <c r="I61" s="102"/>
      <c r="J61" s="102"/>
      <c r="K61" s="102"/>
      <c r="L61" s="102"/>
      <c r="M61" s="102"/>
      <c r="N61" s="102"/>
      <c r="O61" s="102"/>
      <c r="P61" s="102"/>
      <c r="Q61" s="102"/>
      <c r="R61" s="102"/>
      <c r="S61" s="145"/>
    </row>
    <row r="62" spans="2:19" x14ac:dyDescent="0.25">
      <c r="B62" s="146"/>
      <c r="C62" s="102"/>
      <c r="D62" s="102"/>
      <c r="E62" s="102"/>
      <c r="F62" s="102"/>
      <c r="G62" s="102"/>
      <c r="H62" s="102"/>
      <c r="I62" s="102"/>
      <c r="J62" s="102"/>
      <c r="K62" s="102"/>
      <c r="L62" s="102"/>
      <c r="M62" s="102"/>
      <c r="N62" s="102"/>
      <c r="O62" s="102"/>
      <c r="P62" s="102"/>
      <c r="Q62" s="102"/>
      <c r="R62" s="102"/>
      <c r="S62" s="145"/>
    </row>
    <row r="63" spans="2:19" x14ac:dyDescent="0.25">
      <c r="B63" s="146"/>
      <c r="C63" s="102"/>
      <c r="D63" s="102"/>
      <c r="E63" s="102"/>
      <c r="F63" s="102"/>
      <c r="G63" s="102"/>
      <c r="H63" s="102"/>
      <c r="I63" s="102"/>
      <c r="J63" s="102"/>
      <c r="K63" s="102"/>
      <c r="L63" s="102"/>
      <c r="M63" s="102"/>
      <c r="N63" s="102"/>
      <c r="O63" s="102"/>
      <c r="P63" s="102"/>
      <c r="Q63" s="102"/>
      <c r="R63" s="102"/>
      <c r="S63" s="145"/>
    </row>
    <row r="64" spans="2:19" x14ac:dyDescent="0.25">
      <c r="B64" s="146"/>
      <c r="C64" s="503"/>
      <c r="D64" s="503"/>
      <c r="E64" s="503"/>
      <c r="F64" s="102"/>
      <c r="G64" s="102"/>
      <c r="H64" s="102"/>
      <c r="I64" s="102"/>
      <c r="J64" s="102"/>
      <c r="K64" s="102"/>
      <c r="L64" s="102"/>
      <c r="M64" s="102"/>
      <c r="N64" s="102"/>
      <c r="O64" s="102"/>
      <c r="P64" s="102"/>
      <c r="Q64" s="102"/>
      <c r="R64" s="102"/>
      <c r="S64" s="145"/>
    </row>
    <row r="65" spans="2:19" x14ac:dyDescent="0.25">
      <c r="B65" s="146"/>
      <c r="C65" s="102"/>
      <c r="D65" s="102"/>
      <c r="E65" s="102"/>
      <c r="F65" s="102"/>
      <c r="G65" s="102"/>
      <c r="H65" s="102"/>
      <c r="I65" s="102"/>
      <c r="J65" s="102"/>
      <c r="K65" s="102"/>
      <c r="L65" s="102"/>
      <c r="M65" s="102"/>
      <c r="N65" s="102"/>
      <c r="O65" s="102"/>
      <c r="P65" s="102"/>
      <c r="Q65" s="102"/>
      <c r="R65" s="102"/>
      <c r="S65" s="145"/>
    </row>
    <row r="66" spans="2:19" x14ac:dyDescent="0.25">
      <c r="B66" s="146"/>
      <c r="C66" s="503"/>
      <c r="D66" s="503"/>
      <c r="E66" s="503"/>
      <c r="F66" s="102"/>
      <c r="G66" s="102"/>
      <c r="H66" s="102"/>
      <c r="I66" s="102"/>
      <c r="J66" s="102"/>
      <c r="K66" s="102"/>
      <c r="L66" s="102"/>
      <c r="M66" s="102"/>
      <c r="N66" s="102"/>
      <c r="O66" s="102"/>
      <c r="P66" s="102"/>
      <c r="Q66" s="102"/>
      <c r="R66" s="102"/>
      <c r="S66" s="145"/>
    </row>
    <row r="67" spans="2:19" x14ac:dyDescent="0.25">
      <c r="B67" s="146"/>
      <c r="C67" s="102"/>
      <c r="D67" s="102"/>
      <c r="E67" s="102"/>
      <c r="F67" s="102"/>
      <c r="G67" s="102"/>
      <c r="H67" s="102"/>
      <c r="I67" s="102"/>
      <c r="J67" s="102"/>
      <c r="K67" s="102"/>
      <c r="L67" s="102"/>
      <c r="M67" s="102"/>
      <c r="N67" s="102"/>
      <c r="O67" s="102"/>
      <c r="P67" s="102"/>
      <c r="Q67" s="102"/>
      <c r="R67" s="102"/>
      <c r="S67" s="145"/>
    </row>
    <row r="68" spans="2:19" x14ac:dyDescent="0.25">
      <c r="B68" s="146"/>
      <c r="C68" s="102"/>
      <c r="D68" s="102"/>
      <c r="E68" s="102"/>
      <c r="F68" s="102"/>
      <c r="G68" s="102"/>
      <c r="H68" s="102"/>
      <c r="I68" s="102"/>
      <c r="J68" s="102"/>
      <c r="K68" s="102"/>
      <c r="L68" s="102"/>
      <c r="M68" s="102"/>
      <c r="N68" s="102"/>
      <c r="O68" s="102"/>
      <c r="P68" s="102"/>
      <c r="Q68" s="102"/>
      <c r="R68" s="102"/>
      <c r="S68" s="145"/>
    </row>
    <row r="69" spans="2:19" x14ac:dyDescent="0.25">
      <c r="B69" s="146"/>
      <c r="C69" s="102"/>
      <c r="D69" s="102"/>
      <c r="E69" s="102"/>
      <c r="F69" s="102"/>
      <c r="G69" s="102"/>
      <c r="H69" s="102"/>
      <c r="I69" s="102"/>
      <c r="J69" s="102"/>
      <c r="K69" s="102"/>
      <c r="L69" s="102"/>
      <c r="M69" s="102"/>
      <c r="N69" s="102"/>
      <c r="O69" s="102"/>
      <c r="P69" s="102"/>
      <c r="Q69" s="102"/>
      <c r="R69" s="102"/>
      <c r="S69" s="145"/>
    </row>
    <row r="70" spans="2:19" x14ac:dyDescent="0.25">
      <c r="B70" s="146"/>
      <c r="C70" s="102"/>
      <c r="D70" s="102"/>
      <c r="E70" s="102"/>
      <c r="F70" s="102"/>
      <c r="G70" s="102"/>
      <c r="H70" s="102"/>
      <c r="I70" s="102"/>
      <c r="J70" s="102"/>
      <c r="K70" s="102"/>
      <c r="L70" s="102"/>
      <c r="M70" s="102"/>
      <c r="N70" s="102"/>
      <c r="O70" s="102"/>
      <c r="P70" s="102"/>
      <c r="Q70" s="102"/>
      <c r="R70" s="102"/>
      <c r="S70" s="145"/>
    </row>
    <row r="71" spans="2:19" x14ac:dyDescent="0.25">
      <c r="B71" s="146"/>
      <c r="C71" s="102"/>
      <c r="D71" s="102"/>
      <c r="E71" s="102"/>
      <c r="F71" s="102"/>
      <c r="G71" s="102"/>
      <c r="H71" s="102"/>
      <c r="I71" s="102"/>
      <c r="J71" s="102"/>
      <c r="K71" s="102"/>
      <c r="L71" s="102"/>
      <c r="M71" s="102"/>
      <c r="N71" s="102"/>
      <c r="O71" s="102"/>
      <c r="P71" s="102"/>
      <c r="Q71" s="102"/>
      <c r="R71" s="102"/>
      <c r="S71" s="145"/>
    </row>
    <row r="72" spans="2:19" x14ac:dyDescent="0.25">
      <c r="B72" s="146"/>
      <c r="C72" s="102"/>
      <c r="D72" s="102"/>
      <c r="E72" s="102"/>
      <c r="F72" s="102"/>
      <c r="G72" s="102"/>
      <c r="H72" s="102"/>
      <c r="I72" s="102"/>
      <c r="J72" s="102"/>
      <c r="K72" s="102"/>
      <c r="L72" s="102"/>
      <c r="M72" s="102"/>
      <c r="N72" s="102"/>
      <c r="O72" s="102"/>
      <c r="P72" s="102"/>
      <c r="Q72" s="102"/>
      <c r="R72" s="102"/>
      <c r="S72" s="145"/>
    </row>
    <row r="73" spans="2:19" x14ac:dyDescent="0.25">
      <c r="B73" s="146"/>
      <c r="C73" s="102"/>
      <c r="D73" s="102"/>
      <c r="E73" s="102"/>
      <c r="F73" s="102"/>
      <c r="G73" s="102"/>
      <c r="H73" s="102"/>
      <c r="I73" s="102"/>
      <c r="J73" s="102"/>
      <c r="K73" s="102"/>
      <c r="L73" s="102"/>
      <c r="M73" s="102"/>
      <c r="N73" s="102"/>
      <c r="O73" s="102"/>
      <c r="P73" s="102"/>
      <c r="Q73" s="102"/>
      <c r="R73" s="102"/>
      <c r="S73" s="145"/>
    </row>
    <row r="74" spans="2:19" x14ac:dyDescent="0.25">
      <c r="B74" s="146"/>
      <c r="C74" s="102"/>
      <c r="D74" s="102"/>
      <c r="E74" s="102"/>
      <c r="F74" s="102"/>
      <c r="G74" s="102"/>
      <c r="H74" s="102"/>
      <c r="I74" s="102"/>
      <c r="J74" s="102"/>
      <c r="K74" s="102"/>
      <c r="L74" s="102"/>
      <c r="M74" s="102"/>
      <c r="N74" s="102"/>
      <c r="O74" s="102"/>
      <c r="P74" s="102"/>
      <c r="Q74" s="102"/>
      <c r="R74" s="102"/>
      <c r="S74" s="145"/>
    </row>
    <row r="75" spans="2:19" x14ac:dyDescent="0.25">
      <c r="B75" s="146"/>
      <c r="C75" s="102"/>
      <c r="D75" s="102"/>
      <c r="E75" s="102"/>
      <c r="F75" s="102"/>
      <c r="G75" s="102"/>
      <c r="H75" s="102"/>
      <c r="I75" s="102"/>
      <c r="J75" s="102"/>
      <c r="K75" s="102"/>
      <c r="L75" s="102"/>
      <c r="M75" s="102"/>
      <c r="N75" s="102"/>
      <c r="O75" s="102"/>
      <c r="P75" s="102"/>
      <c r="Q75" s="102"/>
      <c r="R75" s="102"/>
      <c r="S75" s="145"/>
    </row>
    <row r="76" spans="2:19" x14ac:dyDescent="0.25">
      <c r="B76" s="146"/>
      <c r="C76" s="102"/>
      <c r="D76" s="102"/>
      <c r="E76" s="102"/>
      <c r="F76" s="102"/>
      <c r="G76" s="102"/>
      <c r="H76" s="102"/>
      <c r="I76" s="102"/>
      <c r="J76" s="102"/>
      <c r="K76" s="102"/>
      <c r="L76" s="102"/>
      <c r="M76" s="102"/>
      <c r="N76" s="102"/>
      <c r="O76" s="102"/>
      <c r="P76" s="102"/>
      <c r="Q76" s="102"/>
      <c r="R76" s="102"/>
      <c r="S76" s="145"/>
    </row>
    <row r="77" spans="2:19" x14ac:dyDescent="0.25">
      <c r="B77" s="146"/>
      <c r="C77" s="102"/>
      <c r="D77" s="102"/>
      <c r="E77" s="102"/>
      <c r="F77" s="102"/>
      <c r="G77" s="102"/>
      <c r="H77" s="102"/>
      <c r="I77" s="102"/>
      <c r="J77" s="102"/>
      <c r="K77" s="102"/>
      <c r="L77" s="102"/>
      <c r="M77" s="102"/>
      <c r="N77" s="102"/>
      <c r="O77" s="102"/>
      <c r="P77" s="102"/>
      <c r="Q77" s="102"/>
      <c r="R77" s="102"/>
      <c r="S77" s="145"/>
    </row>
    <row r="78" spans="2:19" x14ac:dyDescent="0.25">
      <c r="B78" s="146"/>
      <c r="C78" s="102"/>
      <c r="D78" s="102"/>
      <c r="E78" s="102"/>
      <c r="F78" s="102"/>
      <c r="G78" s="102"/>
      <c r="H78" s="102"/>
      <c r="I78" s="102"/>
      <c r="J78" s="102"/>
      <c r="K78" s="102"/>
      <c r="L78" s="102"/>
      <c r="M78" s="102"/>
      <c r="N78" s="102"/>
      <c r="O78" s="102"/>
      <c r="P78" s="102"/>
      <c r="Q78" s="102"/>
      <c r="R78" s="102"/>
      <c r="S78" s="145"/>
    </row>
    <row r="79" spans="2:19" x14ac:dyDescent="0.25">
      <c r="B79" s="146"/>
      <c r="C79" s="102"/>
      <c r="D79" s="102"/>
      <c r="E79" s="102"/>
      <c r="F79" s="102"/>
      <c r="G79" s="102"/>
      <c r="H79" s="102"/>
      <c r="I79" s="102"/>
      <c r="J79" s="102"/>
      <c r="K79" s="102"/>
      <c r="L79" s="102"/>
      <c r="M79" s="102"/>
      <c r="N79" s="102"/>
      <c r="O79" s="102"/>
      <c r="P79" s="102"/>
      <c r="Q79" s="102"/>
      <c r="R79" s="102"/>
      <c r="S79" s="145"/>
    </row>
    <row r="80" spans="2:19" x14ac:dyDescent="0.25">
      <c r="B80" s="146"/>
      <c r="C80" s="102"/>
      <c r="D80" s="102"/>
      <c r="E80" s="102"/>
      <c r="F80" s="102"/>
      <c r="G80" s="102"/>
      <c r="H80" s="102"/>
      <c r="I80" s="102"/>
      <c r="J80" s="102"/>
      <c r="K80" s="102"/>
      <c r="L80" s="102"/>
      <c r="M80" s="102"/>
      <c r="N80" s="102"/>
      <c r="O80" s="102"/>
      <c r="P80" s="102"/>
      <c r="Q80" s="102"/>
      <c r="R80" s="102"/>
      <c r="S80" s="145"/>
    </row>
    <row r="81" spans="2:19" x14ac:dyDescent="0.25">
      <c r="B81" s="146"/>
      <c r="C81" s="102"/>
      <c r="D81" s="102"/>
      <c r="E81" s="102"/>
      <c r="F81" s="102"/>
      <c r="G81" s="102"/>
      <c r="H81" s="102"/>
      <c r="I81" s="102"/>
      <c r="J81" s="102"/>
      <c r="K81" s="102"/>
      <c r="L81" s="102"/>
      <c r="M81" s="102"/>
      <c r="N81" s="102"/>
      <c r="O81" s="102"/>
      <c r="P81" s="102"/>
      <c r="Q81" s="102"/>
      <c r="R81" s="102"/>
      <c r="S81" s="145"/>
    </row>
    <row r="82" spans="2:19" x14ac:dyDescent="0.25">
      <c r="B82" s="146"/>
      <c r="C82" s="102"/>
      <c r="D82" s="102"/>
      <c r="E82" s="102"/>
      <c r="F82" s="102"/>
      <c r="G82" s="102"/>
      <c r="H82" s="102"/>
      <c r="I82" s="102"/>
      <c r="J82" s="102"/>
      <c r="K82" s="102"/>
      <c r="L82" s="102"/>
      <c r="M82" s="102"/>
      <c r="N82" s="102"/>
      <c r="O82" s="102"/>
      <c r="P82" s="102"/>
      <c r="Q82" s="102"/>
      <c r="R82" s="102"/>
      <c r="S82" s="145"/>
    </row>
    <row r="83" spans="2:19" x14ac:dyDescent="0.25">
      <c r="B83" s="152"/>
      <c r="C83" s="170"/>
      <c r="D83" s="170"/>
      <c r="E83" s="170"/>
      <c r="F83" s="170"/>
      <c r="G83" s="170"/>
      <c r="H83" s="170"/>
      <c r="I83" s="170"/>
      <c r="J83" s="170"/>
      <c r="K83" s="170"/>
      <c r="L83" s="170"/>
      <c r="M83" s="170"/>
      <c r="N83" s="170"/>
      <c r="O83" s="170"/>
      <c r="P83" s="170"/>
      <c r="Q83" s="170"/>
      <c r="R83" s="170"/>
      <c r="S83" s="149"/>
    </row>
  </sheetData>
  <sheetProtection algorithmName="SHA-512" hashValue="bHSezFHnm1tllqS9A6+UpU/jrAoWyTTOx4GQtX4E7VI3kDRchVCPPdUfsQiIHVxV4vXPd43/M8cIt9Ts1xfEfA==" saltValue="5LPhjxGPzm1bu5fYOvTyHw==" spinCount="100000" sheet="1" objects="1" scenarios="1"/>
  <mergeCells count="20">
    <mergeCell ref="C66:E66"/>
    <mergeCell ref="L52:M52"/>
    <mergeCell ref="L53:M53"/>
    <mergeCell ref="H55:I55"/>
    <mergeCell ref="J55:K55"/>
    <mergeCell ref="H56:I56"/>
    <mergeCell ref="J56:K56"/>
    <mergeCell ref="H57:I57"/>
    <mergeCell ref="J57:K57"/>
    <mergeCell ref="H58:I58"/>
    <mergeCell ref="J58:K58"/>
    <mergeCell ref="C64:E64"/>
    <mergeCell ref="D11:G11"/>
    <mergeCell ref="K11:N11"/>
    <mergeCell ref="O11:P11"/>
    <mergeCell ref="Q11:R11"/>
    <mergeCell ref="D12:G12"/>
    <mergeCell ref="M12:N12"/>
    <mergeCell ref="O12:P12"/>
    <mergeCell ref="Q12:R12"/>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'6399 S'!$N$1:$N$4</xm:f>
          </x14:formula1>
          <xm:sqref>F25</xm:sqref>
        </x14:dataValidation>
        <x14:dataValidation type="list" allowBlank="1" showInputMessage="1" showErrorMessage="1">
          <x14:formula1>
            <xm:f>'6399 S'!$R$1:$R$2</xm:f>
          </x14:formula1>
          <xm:sqref>F32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L80"/>
  <sheetViews>
    <sheetView workbookViewId="0"/>
  </sheetViews>
  <sheetFormatPr defaultRowHeight="15" x14ac:dyDescent="0.25"/>
  <cols>
    <col min="1" max="9" width="9.140625" customWidth="1"/>
    <col min="10" max="10" width="9.140625" style="1" customWidth="1"/>
    <col min="11" max="19" width="9.140625" customWidth="1"/>
    <col min="20" max="22" width="9.5703125" style="234" customWidth="1"/>
    <col min="23" max="31" width="9.140625" style="234"/>
    <col min="32" max="32" width="9.42578125" style="234" bestFit="1" customWidth="1"/>
    <col min="33" max="33" width="12.140625" style="234" bestFit="1" customWidth="1"/>
    <col min="34" max="34" width="9.42578125" style="234" bestFit="1" customWidth="1"/>
    <col min="35" max="35" width="9.140625" style="234"/>
    <col min="36" max="36" width="9.42578125" style="234" bestFit="1" customWidth="1"/>
    <col min="37" max="37" width="9.140625" style="234"/>
    <col min="38" max="38" width="9.42578125" style="234" bestFit="1" customWidth="1"/>
    <col min="39" max="39" width="45.5703125" style="234" bestFit="1" customWidth="1"/>
    <col min="40" max="40" width="7.85546875" style="234" bestFit="1" customWidth="1"/>
    <col min="41" max="43" width="12.140625" style="234" bestFit="1" customWidth="1"/>
    <col min="44" max="44" width="15.85546875" style="234" bestFit="1" customWidth="1"/>
    <col min="45" max="45" width="12.140625" style="234" bestFit="1" customWidth="1"/>
    <col min="46" max="46" width="24.140625" style="234" bestFit="1" customWidth="1"/>
    <col min="47" max="47" width="12.140625" style="234" bestFit="1" customWidth="1"/>
    <col min="48" max="48" width="7.85546875" style="234" bestFit="1" customWidth="1"/>
    <col min="49" max="49" width="12.140625" style="234" bestFit="1" customWidth="1"/>
    <col min="50" max="50" width="24.140625" style="234" bestFit="1" customWidth="1"/>
    <col min="51" max="51" width="12.140625" style="234" bestFit="1" customWidth="1"/>
    <col min="52" max="52" width="9.28515625" style="234" bestFit="1" customWidth="1"/>
    <col min="53" max="53" width="12" style="234" bestFit="1" customWidth="1"/>
    <col min="54" max="54" width="9.140625" style="234"/>
  </cols>
  <sheetData>
    <row r="1" spans="2:64" x14ac:dyDescent="0.25">
      <c r="AC1" s="444"/>
      <c r="AD1" s="444"/>
      <c r="AE1" s="444" t="s">
        <v>24</v>
      </c>
      <c r="AF1" s="444"/>
      <c r="AG1" s="444">
        <f>1000*G39</f>
        <v>0</v>
      </c>
      <c r="AH1" s="444" t="s">
        <v>12</v>
      </c>
      <c r="AI1" s="444"/>
      <c r="AJ1" s="444"/>
      <c r="AK1" s="444"/>
      <c r="AL1" s="444">
        <v>1</v>
      </c>
      <c r="AM1" s="445" t="s">
        <v>29</v>
      </c>
      <c r="AN1" s="444">
        <v>1</v>
      </c>
      <c r="AO1" s="444">
        <v>70000000000</v>
      </c>
      <c r="AP1" s="444">
        <v>2</v>
      </c>
      <c r="AQ1" s="444">
        <v>70000000000</v>
      </c>
      <c r="AR1" s="444">
        <v>3</v>
      </c>
      <c r="AS1" s="444">
        <v>70000000000</v>
      </c>
      <c r="AT1" s="444">
        <v>4</v>
      </c>
      <c r="AU1" s="444">
        <v>70000000000</v>
      </c>
      <c r="AV1" s="444">
        <v>5</v>
      </c>
      <c r="AW1" s="444">
        <v>70000000000</v>
      </c>
      <c r="AX1" s="444">
        <v>6</v>
      </c>
      <c r="AY1" s="444">
        <v>70000000000</v>
      </c>
      <c r="BB1" s="444"/>
      <c r="BC1" s="235"/>
      <c r="BD1" s="235"/>
      <c r="BE1" s="235"/>
      <c r="BF1" s="235"/>
      <c r="BG1" s="235"/>
      <c r="BH1" s="235"/>
      <c r="BI1" s="235"/>
      <c r="BJ1" s="235"/>
      <c r="BK1" s="235"/>
      <c r="BL1" s="235"/>
    </row>
    <row r="2" spans="2:64" x14ac:dyDescent="0.25">
      <c r="B2" s="2"/>
      <c r="C2" s="3"/>
      <c r="D2" s="3"/>
      <c r="E2" s="3"/>
      <c r="F2" s="3"/>
      <c r="G2" s="3"/>
      <c r="H2" s="3"/>
      <c r="I2" s="3"/>
      <c r="J2" s="3"/>
      <c r="K2" s="3"/>
      <c r="L2" s="3"/>
      <c r="M2" s="3"/>
      <c r="N2" s="3"/>
      <c r="O2" s="3"/>
      <c r="P2" s="3"/>
      <c r="Q2" s="3"/>
      <c r="R2" s="3"/>
      <c r="S2" s="4"/>
      <c r="AC2" s="444"/>
      <c r="AD2" s="444"/>
      <c r="AE2" s="444" t="s">
        <v>3</v>
      </c>
      <c r="AF2" s="444"/>
      <c r="AG2" s="444">
        <f>1000*P43</f>
        <v>0</v>
      </c>
      <c r="AH2" s="444" t="s">
        <v>12</v>
      </c>
      <c r="AI2" s="444"/>
      <c r="AJ2" s="444"/>
      <c r="AK2" s="444" t="e">
        <f>AN22</f>
        <v>#DIV/0!</v>
      </c>
      <c r="AL2" s="444">
        <v>2</v>
      </c>
      <c r="AM2" s="446" t="s">
        <v>30</v>
      </c>
      <c r="AN2" s="445" t="s">
        <v>25</v>
      </c>
      <c r="AO2" s="445">
        <f>IF(AG5&lt;1.5,18.95,IF(AG5&lt;2,21.9,IF(AG5&lt;2.5,23.67,IF(AG5&lt;3,24.77,25.49))))</f>
        <v>18.95</v>
      </c>
      <c r="AP2" s="445" t="s">
        <v>34</v>
      </c>
      <c r="AQ2" s="445">
        <f>IF(AG5&lt;1.5,34.69,IF(AG5&lt;2,40.47,IF(AG5&lt;2.5,44.09,IF(AG5&lt;3,46.42,47.97))))</f>
        <v>34.69</v>
      </c>
      <c r="AR2" s="447" t="s">
        <v>44</v>
      </c>
      <c r="AS2" s="29">
        <f>IF(AG5&lt;1.5,75.58,IF(AG5&lt;2,86.76,IF(AG5&lt;2.5,94.03,IF(AG5&lt;3,98.82,102.07))))</f>
        <v>75.58</v>
      </c>
      <c r="AT2" s="29" t="s">
        <v>360</v>
      </c>
      <c r="AU2" s="29">
        <f>IF(AG5&lt;1.5,65.36,IF(AG5&lt;2,74.75,IF(AG5&lt;2.5,80.28,IF(AG5&lt;3,83.72,85.95))))</f>
        <v>65.36</v>
      </c>
      <c r="AV2" s="29" t="s">
        <v>358</v>
      </c>
      <c r="AW2" s="29">
        <f>IF(AG5&lt;1.5,51.37,IF(AG5&lt;2,57.98,IF(AG5&lt;2.5,61.83,IF(AG5&lt;3,64.21,65.77))))</f>
        <v>51.37</v>
      </c>
      <c r="AX2" s="444" t="s">
        <v>46</v>
      </c>
      <c r="AY2" s="444">
        <f>IF(AG5&lt;1.5,31.36,IF(AG5&lt;2,35.95,IF(AG5&lt;2.5,38.68,IF(AG5&lt;3,40.38,41.49))))</f>
        <v>31.36</v>
      </c>
      <c r="BB2" s="444"/>
      <c r="BC2" s="235"/>
      <c r="BD2" s="235"/>
      <c r="BE2" s="235"/>
      <c r="BF2" s="235"/>
      <c r="BG2" s="235"/>
      <c r="BH2" s="235"/>
      <c r="BI2" s="235"/>
      <c r="BJ2" s="235"/>
      <c r="BK2" s="235"/>
      <c r="BL2" s="235"/>
    </row>
    <row r="3" spans="2:64" x14ac:dyDescent="0.25">
      <c r="B3" s="5"/>
      <c r="C3" s="6"/>
      <c r="D3" s="6"/>
      <c r="E3" s="6"/>
      <c r="F3" s="6"/>
      <c r="G3" s="6"/>
      <c r="H3" s="6"/>
      <c r="I3" s="6"/>
      <c r="J3" s="6"/>
      <c r="K3" s="6"/>
      <c r="L3" s="6"/>
      <c r="M3" s="6"/>
      <c r="N3" s="6"/>
      <c r="O3" s="6"/>
      <c r="P3" s="6"/>
      <c r="Q3" s="7"/>
      <c r="R3" s="7"/>
      <c r="S3" s="8"/>
      <c r="AC3" s="444"/>
      <c r="AD3" s="444"/>
      <c r="AE3" s="444" t="s">
        <v>0</v>
      </c>
      <c r="AF3" s="444"/>
      <c r="AG3" s="444">
        <f>G43/1000</f>
        <v>0</v>
      </c>
      <c r="AH3" s="444" t="s">
        <v>4</v>
      </c>
      <c r="AI3" s="444"/>
      <c r="AJ3" s="444"/>
      <c r="AK3" s="444"/>
      <c r="AL3" s="444">
        <v>3</v>
      </c>
      <c r="AM3" s="444" t="s">
        <v>31</v>
      </c>
      <c r="AN3" s="445" t="s">
        <v>26</v>
      </c>
      <c r="AO3" s="445">
        <f>IF(AG5&lt;1.5,20.1,IF(AG5&lt;2,23.43,IF(AG5&lt;2.5,25.46,IF(AG5&lt;3,26.74,27.58))))</f>
        <v>20.100000000000001</v>
      </c>
      <c r="AP3" s="445" t="s">
        <v>35</v>
      </c>
      <c r="AQ3" s="445">
        <f>IF(AG5&lt;1.5,37.41,IF(AG5&lt;2,43.97,IF(AG5&lt;2.5,48.15,IF(AG5&lt;3,50.87,52.71))))</f>
        <v>37.409999999999997</v>
      </c>
      <c r="AR3" s="447" t="s">
        <v>45</v>
      </c>
      <c r="AS3" s="29">
        <f>IF(AG5&lt;1.5,84.04,IF(AG5&lt;2,97.51,IF(AG5&lt;2.5,106.38,IF(AG5&lt;3,112.27,116.29))))</f>
        <v>84.04</v>
      </c>
      <c r="AT3" s="29" t="s">
        <v>359</v>
      </c>
      <c r="AU3" s="29">
        <f>IF(AG5&lt;1.5,76.13,IF(AG5&lt;2,88.42,IF(AG5&lt;2.5,95.88,IF(AG5&lt;3,100.62,103.73))))</f>
        <v>76.13</v>
      </c>
      <c r="AV3" s="29"/>
      <c r="AW3" s="29"/>
      <c r="AX3" s="444" t="s">
        <v>47</v>
      </c>
      <c r="AY3" s="444">
        <f>IF(AG5&lt;1.5,42.13,IF(AG5&lt;2,49.62,IF(AG5&lt;2.5,54.28,IF(AG5&lt;3,57.28,59.27))))</f>
        <v>42.13</v>
      </c>
      <c r="BB3" s="444"/>
      <c r="BC3" s="235"/>
      <c r="BD3" s="235"/>
      <c r="BE3" s="235"/>
      <c r="BF3" s="235"/>
      <c r="BG3" s="235"/>
      <c r="BH3" s="235"/>
      <c r="BI3" s="235"/>
      <c r="BJ3" s="235"/>
      <c r="BK3" s="235"/>
      <c r="BL3" s="235"/>
    </row>
    <row r="4" spans="2:64" x14ac:dyDescent="0.25">
      <c r="B4" s="9"/>
      <c r="C4" s="10"/>
      <c r="D4" s="11"/>
      <c r="E4" s="11"/>
      <c r="F4" s="11"/>
      <c r="G4" s="11"/>
      <c r="H4" s="11"/>
      <c r="I4" s="11"/>
      <c r="J4" s="11"/>
      <c r="K4" s="11"/>
      <c r="L4" s="11"/>
      <c r="M4" s="11"/>
      <c r="N4" s="11"/>
      <c r="O4" s="11"/>
      <c r="P4" s="11"/>
      <c r="Q4" s="11"/>
      <c r="R4" s="11"/>
      <c r="S4" s="12"/>
      <c r="AC4" s="444"/>
      <c r="AD4" s="444"/>
      <c r="AE4" s="444" t="s">
        <v>1</v>
      </c>
      <c r="AF4" s="444"/>
      <c r="AG4" s="444">
        <f>G45/1000</f>
        <v>0</v>
      </c>
      <c r="AH4" s="444" t="s">
        <v>4</v>
      </c>
      <c r="AI4" s="444"/>
      <c r="AJ4" s="444"/>
      <c r="AK4" s="444"/>
      <c r="AL4" s="444">
        <v>4</v>
      </c>
      <c r="AM4" s="444" t="s">
        <v>32</v>
      </c>
      <c r="AN4" s="445" t="s">
        <v>27</v>
      </c>
      <c r="AO4" s="445">
        <f>IF(AG5&lt;1.5,21.18,IF(AG5&lt;2,24.86,IF(AG5&lt;2.5,27.13,IF(AG5&lt;3,28.58,29.54))))</f>
        <v>21.18</v>
      </c>
      <c r="AP4" s="445" t="s">
        <v>36</v>
      </c>
      <c r="AQ4" s="445">
        <f>IF(AG5&lt;1.5,59.3,IF(AG5&lt;2,67.54,IF(AG5&lt;2.5,72.75,IF(AG5&lt;3,76.12,78.38))))</f>
        <v>59.3</v>
      </c>
      <c r="AR4" s="444"/>
      <c r="AS4" s="444"/>
      <c r="AT4" s="29" t="s">
        <v>361</v>
      </c>
      <c r="AU4" s="29">
        <f>IF(AG5&lt;1.5,122.72,IF(AG5&lt;2,138.61,IF(AG5&lt;2.5,148.27,IF(AG5&lt;3,154.39,158.43))))</f>
        <v>122.72</v>
      </c>
      <c r="AV4" s="29"/>
      <c r="AW4" s="29"/>
      <c r="AX4" s="444" t="s">
        <v>48</v>
      </c>
      <c r="AY4" s="444">
        <f>IF(AG5&lt;1.5,88.72,IF(AG5&lt;2,99.81,IF(AG5&lt;2.5,106.67,IF(AG5&lt;3,111.05,113.96))))</f>
        <v>88.72</v>
      </c>
      <c r="BB4" s="444"/>
      <c r="BC4" s="235"/>
      <c r="BD4" s="235"/>
      <c r="BE4" s="235"/>
      <c r="BF4" s="235"/>
      <c r="BG4" s="235"/>
      <c r="BH4" s="235"/>
      <c r="BI4" s="235"/>
      <c r="BJ4" s="235"/>
      <c r="BK4" s="235"/>
      <c r="BL4" s="235"/>
    </row>
    <row r="5" spans="2:64" x14ac:dyDescent="0.25">
      <c r="B5" s="9"/>
      <c r="C5" s="10"/>
      <c r="D5" s="11"/>
      <c r="E5" s="11"/>
      <c r="F5" s="11"/>
      <c r="G5" s="11"/>
      <c r="H5" s="11"/>
      <c r="I5" s="11"/>
      <c r="J5" s="11"/>
      <c r="K5" s="11"/>
      <c r="L5" s="11"/>
      <c r="M5" s="11"/>
      <c r="N5" s="11"/>
      <c r="O5" s="11"/>
      <c r="P5" s="11"/>
      <c r="Q5" s="11"/>
      <c r="R5" s="11"/>
      <c r="S5" s="13"/>
      <c r="AC5" s="444"/>
      <c r="AD5" s="444"/>
      <c r="AE5" s="444" t="s">
        <v>2</v>
      </c>
      <c r="AF5" s="444"/>
      <c r="AG5" s="444">
        <f>G47/1000</f>
        <v>0</v>
      </c>
      <c r="AH5" s="444" t="s">
        <v>4</v>
      </c>
      <c r="AI5" s="444"/>
      <c r="AJ5" s="444"/>
      <c r="AK5" s="444"/>
      <c r="AL5" s="444">
        <v>5</v>
      </c>
      <c r="AM5" s="445" t="s">
        <v>33</v>
      </c>
      <c r="AN5" s="445" t="s">
        <v>28</v>
      </c>
      <c r="AO5" s="445">
        <f>IF(AG5&lt;1.5,23.96,IF(AG5&lt;2,28.93,IF(AG5&lt;2.5,32.22,IF(AG5&lt;3,34.41,35.91))))</f>
        <v>23.96</v>
      </c>
      <c r="AP5" s="445" t="s">
        <v>37</v>
      </c>
      <c r="AQ5" s="445">
        <f>IF(AG5&lt;1.5,64.48,IF(AG5&lt;2,73.78,IF(AG5&lt;2.5,79.79,IF(AG5&lt;3,83.73,86.39))))</f>
        <v>64.48</v>
      </c>
      <c r="AR5" s="444"/>
      <c r="AS5" s="444"/>
      <c r="AT5" s="29" t="s">
        <v>362</v>
      </c>
      <c r="AU5" s="29">
        <f>IF(AG5&lt;1.5,142.2,IF(AG5&lt;2,165.35,IF(AG5&lt;2.5,180.28,IF(AG5&lt;3,190.09,196.73))))</f>
        <v>142.19999999999999</v>
      </c>
      <c r="AV5" s="444"/>
      <c r="AW5" s="444"/>
      <c r="AX5" s="444" t="s">
        <v>49</v>
      </c>
      <c r="AY5" s="444">
        <f>IF(AG5&lt;1.5,108.2,IF(AG5&lt;2,126.55,IF(AG5&lt;2.5,138.68,IF(AG5&lt;3,146.75,152.27))))</f>
        <v>108.2</v>
      </c>
      <c r="BB5" s="444"/>
      <c r="BC5" s="235"/>
      <c r="BD5" s="235"/>
      <c r="BE5" s="235"/>
      <c r="BF5" s="235"/>
      <c r="BG5" s="235"/>
      <c r="BH5" s="235"/>
      <c r="BI5" s="235"/>
      <c r="BJ5" s="235"/>
      <c r="BK5" s="235"/>
      <c r="BL5" s="235"/>
    </row>
    <row r="6" spans="2:64" x14ac:dyDescent="0.25">
      <c r="B6" s="9"/>
      <c r="C6" s="10"/>
      <c r="D6" s="11"/>
      <c r="E6" s="11"/>
      <c r="F6" s="11"/>
      <c r="G6" s="11"/>
      <c r="H6" s="11"/>
      <c r="I6" s="11"/>
      <c r="J6" s="11"/>
      <c r="K6" s="11"/>
      <c r="L6" s="14"/>
      <c r="M6" s="10"/>
      <c r="N6" s="10"/>
      <c r="O6" s="10"/>
      <c r="P6" s="10"/>
      <c r="Q6" s="10"/>
      <c r="R6" s="10"/>
      <c r="S6" s="15"/>
      <c r="AC6" s="444"/>
      <c r="AD6" s="444"/>
      <c r="AE6" s="444"/>
      <c r="AF6" s="444"/>
      <c r="AG6" s="444"/>
      <c r="AH6" s="444"/>
      <c r="AI6" s="444"/>
      <c r="AJ6" s="444"/>
      <c r="AK6" s="444"/>
      <c r="AL6" s="444">
        <v>6</v>
      </c>
      <c r="AM6" s="444" t="s">
        <v>357</v>
      </c>
      <c r="AN6" s="444"/>
      <c r="AO6" s="444"/>
      <c r="AP6" s="445" t="s">
        <v>38</v>
      </c>
      <c r="AQ6" s="445">
        <f>IF(AG5&lt;1.5,77.82,IF(AG5&lt;2,90.55,IF(AG5&lt;2.5,99.49,IF(AG5&lt;3,105.68,110.04))))</f>
        <v>77.819999999999993</v>
      </c>
      <c r="AR6" s="444"/>
      <c r="AS6" s="444"/>
      <c r="AT6" s="444"/>
      <c r="AU6" s="444"/>
      <c r="AV6" s="444"/>
      <c r="AW6" s="444"/>
      <c r="AX6" s="444"/>
      <c r="AY6" s="444"/>
      <c r="BB6" s="444"/>
      <c r="BC6" s="235"/>
      <c r="BD6" s="235"/>
      <c r="BE6" s="235"/>
      <c r="BF6" s="235"/>
      <c r="BG6" s="235"/>
      <c r="BH6" s="235"/>
      <c r="BI6" s="235"/>
      <c r="BJ6" s="235"/>
      <c r="BK6" s="235"/>
      <c r="BL6" s="235"/>
    </row>
    <row r="7" spans="2:64" x14ac:dyDescent="0.25">
      <c r="B7" s="9"/>
      <c r="C7" s="10"/>
      <c r="D7" s="11"/>
      <c r="E7" s="11"/>
      <c r="F7" s="11"/>
      <c r="G7" s="11"/>
      <c r="H7" s="11"/>
      <c r="I7" s="11"/>
      <c r="J7" s="11"/>
      <c r="K7" s="11"/>
      <c r="L7" s="10"/>
      <c r="M7" s="10"/>
      <c r="N7" s="10"/>
      <c r="O7" s="10"/>
      <c r="P7" s="10"/>
      <c r="Q7" s="10"/>
      <c r="R7" s="10"/>
      <c r="S7" s="15"/>
      <c r="AC7" s="444"/>
      <c r="AD7" s="444"/>
      <c r="AE7" s="444" t="s">
        <v>5</v>
      </c>
      <c r="AF7" s="444"/>
      <c r="AG7" s="444">
        <f>IF(AG5&gt;2.625,0.015,AG5/175)</f>
        <v>0</v>
      </c>
      <c r="AH7" s="444" t="s">
        <v>4</v>
      </c>
      <c r="AI7" s="444"/>
      <c r="AJ7" s="444"/>
      <c r="AK7" s="444"/>
      <c r="AL7" s="444"/>
      <c r="AN7" s="444"/>
      <c r="AO7" s="444"/>
      <c r="AP7" s="445" t="s">
        <v>39</v>
      </c>
      <c r="AQ7" s="445">
        <f>IF(AG5&lt;1.5,79.52,IF(AG5&lt;2,92.65,IF(AG5&lt;2.5,101.67,IF(AG5&lt;3,108.27,112.76))))</f>
        <v>79.52</v>
      </c>
      <c r="AR7" s="444"/>
      <c r="AS7" s="444"/>
      <c r="AT7" s="444"/>
      <c r="AU7" s="444"/>
      <c r="AV7" s="444"/>
      <c r="AW7" s="444"/>
      <c r="AX7" s="444"/>
      <c r="AY7" s="444"/>
      <c r="BB7" s="444"/>
      <c r="BC7" s="235"/>
      <c r="BD7" s="235"/>
      <c r="BE7" s="235"/>
      <c r="BF7" s="235"/>
      <c r="BG7" s="235"/>
      <c r="BH7" s="235"/>
      <c r="BI7" s="235"/>
      <c r="BJ7" s="235"/>
      <c r="BK7" s="235"/>
      <c r="BL7" s="235"/>
    </row>
    <row r="8" spans="2:64" x14ac:dyDescent="0.25">
      <c r="B8" s="9"/>
      <c r="C8" s="10"/>
      <c r="D8" s="16"/>
      <c r="E8" s="527"/>
      <c r="F8" s="527"/>
      <c r="G8" s="527"/>
      <c r="H8" s="527"/>
      <c r="I8" s="527"/>
      <c r="J8" s="527"/>
      <c r="K8" s="527"/>
      <c r="L8" s="10"/>
      <c r="M8" s="10"/>
      <c r="N8" s="10"/>
      <c r="O8" s="10"/>
      <c r="P8" s="10"/>
      <c r="Q8" s="10"/>
      <c r="R8" s="10"/>
      <c r="S8" s="15"/>
      <c r="AC8" s="444"/>
      <c r="AD8" s="444"/>
      <c r="AE8" s="444"/>
      <c r="AF8" s="444"/>
      <c r="AG8" s="444"/>
      <c r="AH8" s="444"/>
      <c r="AI8" s="444"/>
      <c r="AJ8" s="444"/>
      <c r="AK8" s="444"/>
      <c r="AL8" s="444"/>
      <c r="AM8" s="444">
        <f>IF(J46=AM1,1,IF(J46=AM2,2,IF(J46=AM3,3,IF(J46=AM4,4,IF(J46=AM5,5,6)))))</f>
        <v>1</v>
      </c>
      <c r="AN8" s="444"/>
      <c r="AO8" s="444"/>
      <c r="AP8" s="445" t="s">
        <v>356</v>
      </c>
      <c r="AQ8" s="445">
        <f>IF(AG5&lt;1.5,81.67,IF(AG5&lt;2,93.46,IF(AG5&lt;2.5,100.87,IF(AG5&lt;3,105.66,108.09))))</f>
        <v>81.67</v>
      </c>
      <c r="AR8" s="444"/>
      <c r="AS8" s="444"/>
      <c r="AT8" s="444"/>
      <c r="AU8" s="444"/>
      <c r="AV8" s="444"/>
      <c r="AW8" s="444"/>
      <c r="AX8" s="444"/>
      <c r="AY8" s="444"/>
      <c r="BB8" s="444"/>
      <c r="BC8" s="235"/>
      <c r="BD8" s="235"/>
      <c r="BE8" s="235"/>
      <c r="BF8" s="235"/>
      <c r="BG8" s="235"/>
      <c r="BH8" s="235"/>
      <c r="BI8" s="235"/>
      <c r="BJ8" s="235"/>
      <c r="BK8" s="235"/>
      <c r="BL8" s="235"/>
    </row>
    <row r="9" spans="2:64" x14ac:dyDescent="0.25">
      <c r="B9" s="9"/>
      <c r="C9" s="10"/>
      <c r="D9" s="10"/>
      <c r="E9" s="528"/>
      <c r="F9" s="528"/>
      <c r="G9" s="528"/>
      <c r="H9" s="528"/>
      <c r="I9" s="528"/>
      <c r="J9" s="528"/>
      <c r="K9" s="528"/>
      <c r="L9" s="10"/>
      <c r="M9" s="10"/>
      <c r="N9" s="10"/>
      <c r="O9" s="10"/>
      <c r="P9" s="17"/>
      <c r="Q9" s="17"/>
      <c r="R9" s="17"/>
      <c r="S9" s="15"/>
      <c r="AC9" s="444"/>
      <c r="AD9" s="444"/>
      <c r="AE9" s="444" t="s">
        <v>6</v>
      </c>
      <c r="AF9" s="444">
        <f>IF(AG5&gt;AG3,AG3/2,AG5/2)</f>
        <v>0</v>
      </c>
      <c r="AG9" s="444" t="s">
        <v>4</v>
      </c>
      <c r="AH9" s="444"/>
      <c r="AI9" s="444"/>
      <c r="AJ9" s="444"/>
      <c r="AK9" s="444"/>
      <c r="AL9" s="444"/>
      <c r="AM9" s="444"/>
      <c r="AN9" s="444"/>
      <c r="AO9" s="444"/>
      <c r="AP9" s="445" t="s">
        <v>40</v>
      </c>
      <c r="AQ9" s="445">
        <f>IF(AG5&lt;1.5,82.37,IF(AG5&lt;2,93.46,IF(AG5&lt;2.5,100.6,IF(AG5&lt;3,105.28,108.44))))</f>
        <v>82.37</v>
      </c>
      <c r="AR9" s="444"/>
      <c r="AS9" s="444"/>
      <c r="AT9" s="444"/>
      <c r="AU9" s="444"/>
      <c r="AV9" s="444"/>
      <c r="AW9" s="444"/>
      <c r="AX9" s="444"/>
      <c r="AY9" s="444"/>
      <c r="BB9" s="444"/>
      <c r="BC9" s="235"/>
      <c r="BD9" s="235"/>
      <c r="BE9" s="235"/>
      <c r="BF9" s="235"/>
      <c r="BG9" s="235"/>
      <c r="BH9" s="235"/>
      <c r="BI9" s="235"/>
      <c r="BJ9" s="235"/>
      <c r="BK9" s="235"/>
      <c r="BL9" s="235"/>
    </row>
    <row r="10" spans="2:64" x14ac:dyDescent="0.25">
      <c r="B10" s="9"/>
      <c r="C10" s="10"/>
      <c r="D10" s="10"/>
      <c r="E10" s="10"/>
      <c r="F10" s="10"/>
      <c r="G10" s="10"/>
      <c r="H10" s="10"/>
      <c r="I10" s="10"/>
      <c r="J10" s="10"/>
      <c r="K10" s="10"/>
      <c r="L10" s="10"/>
      <c r="M10" s="10"/>
      <c r="N10" s="10"/>
      <c r="O10" s="10"/>
      <c r="P10" s="17"/>
      <c r="Q10" s="17"/>
      <c r="R10" s="17"/>
      <c r="S10" s="15"/>
      <c r="AC10" s="444"/>
      <c r="AD10" s="444"/>
      <c r="AE10" s="444" t="s">
        <v>7</v>
      </c>
      <c r="AF10" s="444">
        <f>IF(AG5&gt;AG4,AG4/2,AG5/2)</f>
        <v>0</v>
      </c>
      <c r="AG10" s="444" t="s">
        <v>4</v>
      </c>
      <c r="AH10" s="444"/>
      <c r="AI10" s="444"/>
      <c r="AJ10" s="444"/>
      <c r="AK10" s="444"/>
      <c r="AL10" s="444"/>
      <c r="AM10" s="444"/>
      <c r="AN10" s="444"/>
      <c r="AO10" s="444"/>
      <c r="AP10" s="445" t="s">
        <v>41</v>
      </c>
      <c r="AQ10" s="445">
        <f>IF(AG5&lt;1.5,114.78,IF(AG5&lt;2,137.24,IF(AG5&lt;2.5,153.1,IF(AG5&lt;3,164.15,171.95))))</f>
        <v>114.78</v>
      </c>
      <c r="AR10" s="444"/>
      <c r="AS10" s="444"/>
      <c r="AT10" s="444"/>
      <c r="AU10" s="444"/>
      <c r="AV10" s="444"/>
      <c r="AW10" s="444"/>
      <c r="AX10" s="444"/>
      <c r="AY10" s="444"/>
      <c r="BB10" s="444"/>
      <c r="BC10" s="235"/>
      <c r="BD10" s="235"/>
      <c r="BE10" s="235"/>
      <c r="BF10" s="235"/>
      <c r="BG10" s="235"/>
      <c r="BH10" s="235"/>
      <c r="BI10" s="235"/>
      <c r="BJ10" s="235"/>
      <c r="BK10" s="235"/>
      <c r="BL10" s="235"/>
    </row>
    <row r="11" spans="2:64" ht="15" customHeight="1" x14ac:dyDescent="0.5">
      <c r="B11" s="9"/>
      <c r="C11" s="10"/>
      <c r="D11" s="18"/>
      <c r="E11" s="10"/>
      <c r="F11" s="10"/>
      <c r="G11" s="10"/>
      <c r="H11" s="10"/>
      <c r="I11" s="10"/>
      <c r="J11" s="10"/>
      <c r="K11" s="6"/>
      <c r="L11" s="6"/>
      <c r="M11" s="6"/>
      <c r="N11" s="6"/>
      <c r="O11" s="6"/>
      <c r="P11" s="6"/>
      <c r="Q11" s="6"/>
      <c r="R11" s="6"/>
      <c r="S11" s="15"/>
      <c r="AC11" s="444"/>
      <c r="AD11" s="444"/>
      <c r="AE11" s="444" t="s">
        <v>8</v>
      </c>
      <c r="AF11" s="444">
        <f>IF(AG5&gt;AG3,AG2*AG3/2,AG5*AG2/2)</f>
        <v>0</v>
      </c>
      <c r="AG11" s="444" t="s">
        <v>13</v>
      </c>
      <c r="AH11" s="444"/>
      <c r="AI11" s="444"/>
      <c r="AJ11" s="444"/>
      <c r="AK11" s="444"/>
      <c r="AL11" s="444"/>
      <c r="AM11" s="444"/>
      <c r="AN11" s="444"/>
      <c r="AO11" s="444"/>
      <c r="AP11" s="445" t="s">
        <v>42</v>
      </c>
      <c r="AQ11" s="445">
        <f>IF(AG5&lt;1.5,148.57,IF(AG5&lt;2,178.44,IF(AG5&lt;2.5,201.26,IF(AG5&lt;3,218.07,230.42))))</f>
        <v>148.57</v>
      </c>
      <c r="AR11" s="444"/>
      <c r="AS11" s="444"/>
      <c r="AT11" s="444"/>
      <c r="AU11" s="444"/>
      <c r="AV11" s="444"/>
      <c r="AW11" s="444"/>
      <c r="AX11" s="444"/>
      <c r="AY11" s="444"/>
      <c r="BB11" s="444"/>
      <c r="BC11" s="235"/>
      <c r="BD11" s="235"/>
      <c r="BE11" s="235"/>
      <c r="BF11" s="235"/>
      <c r="BG11" s="235"/>
      <c r="BH11" s="235"/>
      <c r="BI11" s="235"/>
      <c r="BJ11" s="235"/>
      <c r="BK11" s="235"/>
      <c r="BL11" s="235"/>
    </row>
    <row r="12" spans="2:64" x14ac:dyDescent="0.25">
      <c r="B12" s="9"/>
      <c r="C12" s="10"/>
      <c r="D12" s="19" t="s">
        <v>50</v>
      </c>
      <c r="E12" s="492">
        <f>'Navigation Page'!D16</f>
        <v>0</v>
      </c>
      <c r="F12" s="493"/>
      <c r="G12" s="493"/>
      <c r="H12" s="529"/>
      <c r="I12" s="20" t="s">
        <v>51</v>
      </c>
      <c r="J12" s="530">
        <f>'Navigation Page'!I16</f>
        <v>0</v>
      </c>
      <c r="K12" s="524"/>
      <c r="L12" s="19" t="s">
        <v>52</v>
      </c>
      <c r="M12" s="531">
        <f>'Navigation Page'!K16</f>
        <v>0</v>
      </c>
      <c r="N12" s="532"/>
      <c r="O12" s="532"/>
      <c r="P12" s="532"/>
      <c r="Q12" s="19" t="s">
        <v>53</v>
      </c>
      <c r="R12" s="21">
        <f>'Navigation Page'!O16</f>
        <v>0</v>
      </c>
      <c r="S12" s="15"/>
      <c r="AC12" s="444"/>
      <c r="AD12" s="444"/>
      <c r="AE12" s="444" t="s">
        <v>9</v>
      </c>
      <c r="AF12" s="444">
        <f>IF(AG5&gt;AG4,AG2*AG4/2,AG5*AG2/2)</f>
        <v>0</v>
      </c>
      <c r="AG12" s="444" t="s">
        <v>13</v>
      </c>
      <c r="AH12" s="444"/>
      <c r="AI12" s="444"/>
      <c r="AJ12" s="444"/>
      <c r="AK12" s="444"/>
      <c r="AL12" s="444"/>
      <c r="AM12" s="444"/>
      <c r="AN12" s="444"/>
      <c r="AO12" s="444"/>
      <c r="AP12" s="444" t="s">
        <v>43</v>
      </c>
      <c r="AQ12" s="444">
        <f>IF(AG5&lt;1.5,151.13,IF(AG5&lt;2,181.11,IF(AG5&lt;2.5,202.71,IF(AG5&lt;3,217.99,228.87))))</f>
        <v>151.13</v>
      </c>
      <c r="AR12" s="444"/>
      <c r="AS12" s="444"/>
      <c r="AT12" s="444"/>
      <c r="AU12" s="444"/>
      <c r="AV12" s="444"/>
      <c r="AW12" s="444"/>
      <c r="AX12" s="444"/>
      <c r="AY12" s="444"/>
      <c r="BB12" s="444"/>
      <c r="BC12" s="235"/>
      <c r="BD12" s="235"/>
      <c r="BE12" s="235"/>
      <c r="BF12" s="235"/>
      <c r="BG12" s="235"/>
      <c r="BH12" s="235"/>
      <c r="BI12" s="235"/>
      <c r="BJ12" s="235"/>
      <c r="BK12" s="235"/>
      <c r="BL12" s="235"/>
    </row>
    <row r="13" spans="2:64" x14ac:dyDescent="0.25">
      <c r="B13" s="9"/>
      <c r="C13" s="10"/>
      <c r="D13" s="22" t="s">
        <v>54</v>
      </c>
      <c r="E13" s="520">
        <f>'Navigation Page'!D17</f>
        <v>0</v>
      </c>
      <c r="F13" s="521"/>
      <c r="G13" s="521"/>
      <c r="H13" s="522"/>
      <c r="I13" s="22" t="s">
        <v>55</v>
      </c>
      <c r="J13" s="523">
        <f ca="1">'Navigation Page'!I17</f>
        <v>42251</v>
      </c>
      <c r="K13" s="524"/>
      <c r="L13" s="22" t="s">
        <v>56</v>
      </c>
      <c r="M13" s="23">
        <f>'Navigation Page'!K17</f>
        <v>0</v>
      </c>
      <c r="N13" s="24" t="s">
        <v>57</v>
      </c>
      <c r="O13" s="525">
        <f>'Navigation Page'!M17</f>
        <v>0</v>
      </c>
      <c r="P13" s="526"/>
      <c r="Q13" s="22" t="s">
        <v>58</v>
      </c>
      <c r="R13" s="25">
        <v>3</v>
      </c>
      <c r="S13" s="15"/>
      <c r="AC13" s="444"/>
      <c r="AD13" s="444"/>
      <c r="AE13" s="444"/>
      <c r="AF13" s="444"/>
      <c r="AG13" s="444"/>
      <c r="AH13" s="444"/>
      <c r="AI13" s="444"/>
      <c r="AJ13" s="444"/>
      <c r="AK13" s="444"/>
      <c r="AL13" s="444"/>
      <c r="AM13" s="444"/>
      <c r="AN13" s="444" t="e">
        <f>IF(AG16&lt;AO2,AN2,IF(AG16&lt;AO3,AN3,IF(AG16&lt;AO4,AN4,IF(AG16&lt;AO5,AN5,"NA"))))</f>
        <v>#DIV/0!</v>
      </c>
      <c r="AO13" s="444" t="e">
        <f>IF(AG16&lt;AO2,AO2,IF(AG16&lt;AO3,AO3,IF(AG16&lt;AO4,AO4,IF(AG16&lt;AO5,AO5,"NA"))))</f>
        <v>#DIV/0!</v>
      </c>
      <c r="AP13" s="444" t="e">
        <f>IF(AG16&lt;AQ2,AP2,IF(AG16&lt;AQ3,AP3,IF(AG16&lt;AQ4,AP4,IF(AG16&lt;AQ5,AP5,IF(AG16&lt;AQ6,AP6,IF(AG16&lt;AQ7,AP7,IF(AG16&lt;AQ8,AP8,IF(AG16&lt;AQ9,AP9,IF(AG16&lt;AQ10,AP10,IF(AG16&lt;AQ11,AP11,IF(AG16&lt;AQ12,AP12,"NA")))))))))))</f>
        <v>#DIV/0!</v>
      </c>
      <c r="AQ13" s="444" t="e">
        <f>IF(AG16&lt;AQ2,AQ2,IF(AG16&lt;AQ3,AQ3,IF(AG16&lt;AQ4,AQ4,IF(AG16&lt;AQ5,AQ5,IF(AG16&lt;AQ6,AQ6,IF(AG16&lt;AQ7,AQ7,IF(AG16&lt;AQ8,AQ8,IF(AG16&lt;AQ9,AQ9,IF(AG16&lt;AQ10,AQ10,IF(AG16&lt;AQ11,AQ11,IF(AG16&lt;AQ12,AQ12,"NA")))))))))))</f>
        <v>#DIV/0!</v>
      </c>
      <c r="AR13" s="444" t="e">
        <f>IF(AG16&lt;AS2,AR2,IF(AG16&lt;AS3,AR3,"NA"))</f>
        <v>#DIV/0!</v>
      </c>
      <c r="AS13" s="444" t="e">
        <f>IF(AG16&lt;AS2,AS2,IF(AG16&lt;AS3,AS3,"NA"))</f>
        <v>#DIV/0!</v>
      </c>
      <c r="AT13" s="444" t="e">
        <f>IF(AG16&lt;AU2,AT2,IF(AG16&lt;AU3,AT3,IF(AG16&lt;AU4,AT4,IF(AG16&lt;AU5,AT5,"NA"))))</f>
        <v>#DIV/0!</v>
      </c>
      <c r="AU13" s="444" t="e">
        <f>IF(AG16&lt;AU2,AU2,IF(AG16&lt;AU3,AU3,IF(AG16&lt;AU4,AU4,IF(AG16&lt;AU5,AU5,"NA"))))</f>
        <v>#DIV/0!</v>
      </c>
      <c r="AV13" s="444" t="e">
        <f>IF(AG16&lt;AW2,AV2,"NA")</f>
        <v>#DIV/0!</v>
      </c>
      <c r="AW13" s="444" t="e">
        <f>IF(AG16&lt;AW2,AW2,"NA")</f>
        <v>#DIV/0!</v>
      </c>
      <c r="AX13" s="444" t="e">
        <f>IF(AG16&lt;AY2,AX2,IF(AG16&lt;AY3,AX3,IF(AG16&lt;AY4,AX4,IF(AG16&lt;AY5,AX5,"NA"))))</f>
        <v>#DIV/0!</v>
      </c>
      <c r="AY13" s="444" t="e">
        <f>IF(AG16&lt;AY2,AY2,IF(AG16&lt;AY3,AY3,IF(AG16&lt;AY4,AY4,IF(AG16&lt;AY5,AY5,"NA"))))</f>
        <v>#DIV/0!</v>
      </c>
      <c r="BB13" s="444"/>
      <c r="BC13" s="235"/>
      <c r="BD13" s="235"/>
      <c r="BE13" s="235"/>
      <c r="BF13" s="235"/>
      <c r="BG13" s="235"/>
      <c r="BH13" s="235"/>
      <c r="BI13" s="235"/>
      <c r="BJ13" s="235"/>
      <c r="BK13" s="235"/>
      <c r="BL13" s="235"/>
    </row>
    <row r="14" spans="2:64" x14ac:dyDescent="0.25">
      <c r="B14" s="9"/>
      <c r="C14" s="10"/>
      <c r="D14" s="6"/>
      <c r="E14" s="6"/>
      <c r="F14" s="6"/>
      <c r="G14" s="6"/>
      <c r="H14" s="6"/>
      <c r="I14" s="10"/>
      <c r="J14" s="10"/>
      <c r="K14" s="6"/>
      <c r="L14" s="6"/>
      <c r="M14" s="6"/>
      <c r="N14" s="6"/>
      <c r="O14" s="6"/>
      <c r="P14" s="10"/>
      <c r="Q14" s="10"/>
      <c r="R14" s="26"/>
      <c r="S14" s="15"/>
      <c r="AC14" s="444"/>
      <c r="AD14" s="444"/>
      <c r="AE14" s="444" t="s">
        <v>10</v>
      </c>
      <c r="AF14" s="444"/>
      <c r="AG14" s="444">
        <f>AP22</f>
        <v>70000000000</v>
      </c>
      <c r="AH14" s="444" t="s">
        <v>11</v>
      </c>
      <c r="AI14" s="444"/>
      <c r="AJ14" s="444"/>
      <c r="AK14" s="444"/>
      <c r="AL14" s="444"/>
      <c r="AM14" s="444"/>
      <c r="AN14" s="444"/>
      <c r="AO14" s="444"/>
      <c r="AP14" s="444"/>
      <c r="AQ14" s="444"/>
      <c r="AR14" s="444"/>
      <c r="AS14" s="444"/>
      <c r="AT14" s="444"/>
      <c r="AU14" s="444"/>
      <c r="AV14" s="444"/>
      <c r="AW14" s="444"/>
      <c r="AX14" s="444"/>
      <c r="AY14" s="444"/>
      <c r="AZ14" s="444"/>
      <c r="BA14" s="444"/>
      <c r="BB14" s="444"/>
      <c r="BC14" s="235"/>
      <c r="BD14" s="235"/>
      <c r="BE14" s="235"/>
      <c r="BF14" s="235"/>
      <c r="BG14" s="235"/>
      <c r="BH14" s="235"/>
      <c r="BI14" s="235"/>
      <c r="BJ14" s="235"/>
      <c r="BK14" s="235"/>
      <c r="BL14" s="235"/>
    </row>
    <row r="15" spans="2:64" ht="18.75" x14ac:dyDescent="0.3">
      <c r="B15" s="9"/>
      <c r="C15" s="10"/>
      <c r="D15" s="27" t="s">
        <v>59</v>
      </c>
      <c r="E15" s="10"/>
      <c r="F15" s="10"/>
      <c r="G15" s="10"/>
      <c r="H15" s="10"/>
      <c r="I15" s="10"/>
      <c r="J15" s="10"/>
      <c r="K15" s="6"/>
      <c r="L15" s="6"/>
      <c r="M15" s="6"/>
      <c r="N15" s="6"/>
      <c r="O15" s="6"/>
      <c r="P15" s="10"/>
      <c r="Q15" s="6"/>
      <c r="R15" s="6"/>
      <c r="S15" s="28"/>
      <c r="AC15" s="444"/>
      <c r="AD15" s="444"/>
      <c r="AE15" s="444" t="s">
        <v>14</v>
      </c>
      <c r="AF15" s="444"/>
      <c r="AG15" s="444" t="e">
        <f>(AF11*(5*AG5^2-4*AF9^2)^2+AF12*(5*AG5^2-4*AF10^2)^2)/(1920*AG14*AG7)</f>
        <v>#DIV/0!</v>
      </c>
      <c r="AH15" s="444" t="s">
        <v>15</v>
      </c>
      <c r="AI15" s="444"/>
      <c r="AJ15" s="444"/>
      <c r="AK15" s="444"/>
      <c r="AL15" s="444"/>
      <c r="AM15" s="444"/>
      <c r="AN15" s="444"/>
      <c r="AO15" s="444"/>
      <c r="AP15" s="444"/>
      <c r="AQ15" s="444"/>
      <c r="AR15" s="444"/>
      <c r="AS15" s="444"/>
      <c r="AT15" s="444"/>
      <c r="AU15" s="444"/>
      <c r="AV15" s="444"/>
      <c r="AW15" s="444"/>
      <c r="AX15" s="444"/>
      <c r="AY15" s="444"/>
      <c r="AZ15" s="444"/>
      <c r="BA15" s="444"/>
      <c r="BB15" s="444"/>
      <c r="BC15" s="235"/>
      <c r="BD15" s="235"/>
      <c r="BE15" s="235"/>
      <c r="BF15" s="235"/>
      <c r="BG15" s="235"/>
      <c r="BH15" s="235"/>
      <c r="BI15" s="235"/>
      <c r="BJ15" s="235"/>
      <c r="BK15" s="235"/>
      <c r="BL15" s="235"/>
    </row>
    <row r="16" spans="2:64" x14ac:dyDescent="0.25">
      <c r="B16" s="9"/>
      <c r="C16" s="10"/>
      <c r="D16" s="7"/>
      <c r="E16" s="10"/>
      <c r="F16" s="10"/>
      <c r="G16" s="10"/>
      <c r="H16" s="10"/>
      <c r="I16" s="10"/>
      <c r="J16" s="10"/>
      <c r="K16" s="6"/>
      <c r="L16" s="6"/>
      <c r="M16" s="6"/>
      <c r="N16" s="6"/>
      <c r="O16" s="6"/>
      <c r="P16" s="29"/>
      <c r="Q16" s="6"/>
      <c r="R16" s="6"/>
      <c r="S16" s="28"/>
      <c r="AC16" s="444"/>
      <c r="AD16" s="444"/>
      <c r="AE16" s="444" t="s">
        <v>14</v>
      </c>
      <c r="AF16" s="444"/>
      <c r="AG16" s="444" t="e">
        <f>AG15*100000000</f>
        <v>#DIV/0!</v>
      </c>
      <c r="AH16" s="444" t="s">
        <v>16</v>
      </c>
      <c r="AI16" s="444"/>
      <c r="AJ16" s="444"/>
      <c r="AK16" s="444"/>
      <c r="AL16" s="444"/>
      <c r="AM16" s="444"/>
      <c r="AN16" s="444"/>
      <c r="AO16" s="444"/>
      <c r="AP16" s="444"/>
      <c r="AQ16" s="444"/>
      <c r="AR16" s="444"/>
      <c r="AS16" s="444"/>
      <c r="AT16" s="444"/>
      <c r="AU16" s="444"/>
      <c r="AV16" s="444"/>
      <c r="AW16" s="444"/>
      <c r="AX16" s="444"/>
      <c r="AY16" s="444"/>
      <c r="AZ16" s="444"/>
      <c r="BA16" s="444"/>
      <c r="BB16" s="444"/>
      <c r="BC16" s="235"/>
      <c r="BD16" s="235"/>
      <c r="BE16" s="235"/>
      <c r="BF16" s="235"/>
      <c r="BG16" s="235"/>
      <c r="BH16" s="235"/>
      <c r="BI16" s="235"/>
      <c r="BJ16" s="235"/>
      <c r="BK16" s="235"/>
      <c r="BL16" s="235"/>
    </row>
    <row r="17" spans="2:64" x14ac:dyDescent="0.25">
      <c r="B17" s="9"/>
      <c r="C17" s="10"/>
      <c r="D17" s="10"/>
      <c r="E17" s="10"/>
      <c r="F17" s="10"/>
      <c r="G17" s="10"/>
      <c r="H17" s="10"/>
      <c r="I17" s="10"/>
      <c r="J17" s="10"/>
      <c r="K17" s="6"/>
      <c r="L17" s="6"/>
      <c r="M17" s="6"/>
      <c r="N17" s="6"/>
      <c r="O17" s="14"/>
      <c r="P17" s="29"/>
      <c r="Q17" s="26"/>
      <c r="R17" s="16"/>
      <c r="S17" s="15"/>
      <c r="AC17" s="444"/>
      <c r="AD17" s="444"/>
      <c r="AE17" s="444"/>
      <c r="AF17" s="444"/>
      <c r="AG17" s="444"/>
      <c r="AH17" s="444"/>
      <c r="AI17" s="444"/>
      <c r="AJ17" s="444"/>
      <c r="AK17" s="444"/>
      <c r="AL17" s="444"/>
      <c r="AM17" s="444"/>
      <c r="AN17" s="444"/>
      <c r="AO17" s="444"/>
      <c r="AP17" s="444"/>
      <c r="AQ17" s="444"/>
      <c r="AR17" s="444"/>
      <c r="AS17" s="444"/>
      <c r="AT17" s="444"/>
      <c r="AU17" s="444"/>
      <c r="AV17" s="444"/>
      <c r="AW17" s="444"/>
      <c r="AX17" s="444"/>
      <c r="AY17" s="444"/>
      <c r="AZ17" s="444"/>
      <c r="BA17" s="444"/>
      <c r="BB17" s="444"/>
      <c r="BC17" s="235"/>
      <c r="BD17" s="235"/>
      <c r="BE17" s="235"/>
      <c r="BF17" s="235"/>
      <c r="BG17" s="235"/>
      <c r="BH17" s="235"/>
      <c r="BI17" s="235"/>
      <c r="BJ17" s="235"/>
      <c r="BK17" s="235"/>
      <c r="BL17" s="235"/>
    </row>
    <row r="18" spans="2:64" x14ac:dyDescent="0.25">
      <c r="B18" s="9"/>
      <c r="C18" s="10"/>
      <c r="D18" s="10"/>
      <c r="E18" s="10"/>
      <c r="F18" s="10"/>
      <c r="G18" s="10"/>
      <c r="H18" s="10"/>
      <c r="I18" s="10"/>
      <c r="J18" s="10"/>
      <c r="K18" s="6"/>
      <c r="L18" s="6"/>
      <c r="M18" s="6"/>
      <c r="N18" s="6"/>
      <c r="O18" s="10"/>
      <c r="P18" s="29"/>
      <c r="Q18" s="26"/>
      <c r="R18" s="26"/>
      <c r="S18" s="15"/>
      <c r="AC18" s="444"/>
      <c r="AD18" s="444"/>
      <c r="AE18" s="444" t="s">
        <v>17</v>
      </c>
      <c r="AF18" s="444"/>
      <c r="AG18" s="444" t="e">
        <f>AO22/100000000</f>
        <v>#DIV/0!</v>
      </c>
      <c r="AH18" s="444" t="s">
        <v>15</v>
      </c>
      <c r="AI18" s="444"/>
      <c r="AJ18" s="444"/>
      <c r="AK18" s="444"/>
      <c r="AL18" s="444"/>
      <c r="AM18" s="444"/>
      <c r="AN18" s="444"/>
      <c r="AO18" s="444"/>
      <c r="AP18" s="444"/>
      <c r="AQ18" s="444"/>
      <c r="AR18" s="444"/>
      <c r="AS18" s="444"/>
      <c r="AT18" s="444"/>
      <c r="AU18" s="444"/>
      <c r="AV18" s="444"/>
      <c r="AW18" s="444"/>
      <c r="AX18" s="444"/>
      <c r="AY18" s="444"/>
      <c r="AZ18" s="444"/>
      <c r="BA18" s="444"/>
      <c r="BB18" s="444"/>
      <c r="BC18" s="235"/>
      <c r="BD18" s="235"/>
      <c r="BE18" s="235"/>
      <c r="BF18" s="235"/>
      <c r="BG18" s="235"/>
      <c r="BH18" s="235"/>
      <c r="BI18" s="235"/>
      <c r="BJ18" s="235"/>
      <c r="BK18" s="235"/>
      <c r="BL18" s="235"/>
    </row>
    <row r="19" spans="2:64" x14ac:dyDescent="0.25">
      <c r="B19" s="9"/>
      <c r="C19" s="10"/>
      <c r="D19" s="10"/>
      <c r="E19" s="10"/>
      <c r="F19" s="10"/>
      <c r="G19" s="10"/>
      <c r="H19" s="10"/>
      <c r="I19" s="10"/>
      <c r="J19" s="10"/>
      <c r="K19" s="6"/>
      <c r="L19" s="6"/>
      <c r="M19" s="6"/>
      <c r="N19" s="6"/>
      <c r="O19" s="6"/>
      <c r="P19" s="29"/>
      <c r="Q19" s="6"/>
      <c r="R19" s="6"/>
      <c r="S19" s="28"/>
      <c r="AC19" s="444"/>
      <c r="AD19" s="444"/>
      <c r="AE19" s="444" t="s">
        <v>18</v>
      </c>
      <c r="AF19" s="444"/>
      <c r="AG19" s="444" t="e">
        <f>(AF11*(5*AG5^2-4*AF9^2)^2/(1920*AG14*AG18))+(AF12*(5*AG5^2-4*AF10^2)^2/(1920*AG14*AG18))</f>
        <v>#DIV/0!</v>
      </c>
      <c r="AH19" s="444" t="s">
        <v>4</v>
      </c>
      <c r="AI19" s="444" t="s">
        <v>21</v>
      </c>
      <c r="AJ19" s="444" t="e">
        <f>AG5/AG19</f>
        <v>#DIV/0!</v>
      </c>
      <c r="AK19" s="444"/>
      <c r="AL19" s="444"/>
      <c r="AM19" s="444"/>
      <c r="AN19" s="444"/>
      <c r="AO19" s="444"/>
      <c r="AP19" s="444"/>
      <c r="AQ19" s="444"/>
      <c r="AR19" s="444"/>
      <c r="AS19" s="444"/>
      <c r="AT19" s="444"/>
      <c r="AU19" s="444"/>
      <c r="AV19" s="444"/>
      <c r="AW19" s="444"/>
      <c r="AX19" s="444"/>
      <c r="AY19" s="444"/>
      <c r="AZ19" s="444"/>
      <c r="BA19" s="444"/>
      <c r="BB19" s="444"/>
      <c r="BC19" s="235"/>
      <c r="BD19" s="235"/>
      <c r="BE19" s="235"/>
      <c r="BF19" s="235"/>
      <c r="BG19" s="235"/>
      <c r="BH19" s="235"/>
      <c r="BI19" s="235"/>
      <c r="BJ19" s="235"/>
      <c r="BK19" s="235"/>
      <c r="BL19" s="235"/>
    </row>
    <row r="20" spans="2:64" x14ac:dyDescent="0.25">
      <c r="B20" s="9"/>
      <c r="C20" s="10"/>
      <c r="D20" s="10"/>
      <c r="E20" s="10"/>
      <c r="F20" s="10"/>
      <c r="G20" s="10"/>
      <c r="H20" s="10"/>
      <c r="I20" s="10"/>
      <c r="J20" s="10"/>
      <c r="K20" s="6"/>
      <c r="L20" s="6"/>
      <c r="M20" s="6"/>
      <c r="N20" s="6"/>
      <c r="O20" s="6"/>
      <c r="P20" s="29"/>
      <c r="Q20" s="6"/>
      <c r="R20" s="6"/>
      <c r="S20" s="28"/>
      <c r="AC20" s="444"/>
      <c r="AD20" s="444"/>
      <c r="AE20" s="444"/>
      <c r="AF20" s="444"/>
      <c r="AG20" s="444" t="s">
        <v>22</v>
      </c>
      <c r="AH20" s="444" t="s">
        <v>23</v>
      </c>
      <c r="AI20" s="444"/>
      <c r="AJ20" s="444"/>
      <c r="AK20" s="444"/>
      <c r="AL20" s="444"/>
      <c r="AM20" s="444"/>
      <c r="AN20" s="444"/>
      <c r="AO20" s="444"/>
      <c r="AP20" s="444"/>
      <c r="AQ20" s="444"/>
      <c r="AR20" s="444"/>
      <c r="AS20" s="444"/>
      <c r="AT20" s="444"/>
      <c r="AU20" s="444"/>
      <c r="AV20" s="444"/>
      <c r="AW20" s="444"/>
      <c r="AX20" s="444"/>
      <c r="AY20" s="444"/>
      <c r="AZ20" s="444"/>
      <c r="BA20" s="444"/>
      <c r="BB20" s="444"/>
      <c r="BC20" s="235"/>
      <c r="BD20" s="235"/>
      <c r="BE20" s="235"/>
      <c r="BF20" s="235"/>
      <c r="BG20" s="235"/>
      <c r="BH20" s="235"/>
      <c r="BI20" s="235"/>
      <c r="BJ20" s="235"/>
      <c r="BK20" s="235"/>
      <c r="BL20" s="235"/>
    </row>
    <row r="21" spans="2:64" x14ac:dyDescent="0.25">
      <c r="B21" s="9"/>
      <c r="C21" s="10"/>
      <c r="D21" s="10"/>
      <c r="E21" s="10"/>
      <c r="F21" s="10"/>
      <c r="G21" s="10"/>
      <c r="H21" s="10"/>
      <c r="I21" s="10"/>
      <c r="J21" s="10"/>
      <c r="K21" s="6"/>
      <c r="L21" s="6"/>
      <c r="M21" s="6"/>
      <c r="N21" s="6"/>
      <c r="O21" s="6"/>
      <c r="P21" s="29"/>
      <c r="Q21" s="30"/>
      <c r="R21" s="26"/>
      <c r="S21" s="15"/>
      <c r="AC21" s="444"/>
      <c r="AD21" s="444"/>
      <c r="AE21" s="444" t="s">
        <v>19</v>
      </c>
      <c r="AF21" s="444"/>
      <c r="AG21" s="444">
        <f>(AF11*(AG5-AF9)+AF12*(AG5-AF10))/2+IF(AG5&gt;AG3,AG3*AG3*AG2/8,(AG5/2)*(AG3-(AG5/2))*AG2/2)+IF(AG5&gt;AG4,AG4*AG4*AG2/8,(AG5/2)*(AG4-(AG5/2))*AG2/2)</f>
        <v>0</v>
      </c>
      <c r="AH21" s="444">
        <f>0</f>
        <v>0</v>
      </c>
      <c r="AI21" s="444"/>
      <c r="AJ21" s="444"/>
      <c r="AK21" s="444"/>
      <c r="AL21" s="444"/>
      <c r="AM21" s="444"/>
      <c r="AN21" s="444"/>
      <c r="AO21" s="444"/>
      <c r="AP21" s="444"/>
      <c r="AQ21" s="444"/>
      <c r="AR21" s="444"/>
      <c r="AS21" s="444"/>
      <c r="AT21" s="444"/>
      <c r="AU21" s="444"/>
      <c r="AV21" s="444"/>
      <c r="AW21" s="444"/>
      <c r="AX21" s="444"/>
      <c r="AY21" s="444"/>
      <c r="AZ21" s="444"/>
      <c r="BA21" s="444"/>
      <c r="BB21" s="444"/>
      <c r="BC21" s="235"/>
      <c r="BD21" s="235"/>
      <c r="BE21" s="235"/>
      <c r="BF21" s="235"/>
      <c r="BG21" s="235"/>
      <c r="BH21" s="235"/>
      <c r="BI21" s="235"/>
      <c r="BJ21" s="235"/>
      <c r="BK21" s="235"/>
      <c r="BL21" s="235"/>
    </row>
    <row r="22" spans="2:64" x14ac:dyDescent="0.25">
      <c r="B22" s="9"/>
      <c r="C22" s="10"/>
      <c r="D22" s="10"/>
      <c r="E22" s="10"/>
      <c r="F22" s="10"/>
      <c r="G22" s="10"/>
      <c r="H22" s="10"/>
      <c r="I22" s="10"/>
      <c r="J22" s="10"/>
      <c r="K22" s="6"/>
      <c r="L22" s="6"/>
      <c r="M22" s="6"/>
      <c r="N22" s="31"/>
      <c r="O22" s="6"/>
      <c r="P22" s="29"/>
      <c r="Q22" s="6"/>
      <c r="R22" s="6"/>
      <c r="S22" s="28"/>
      <c r="AC22" s="444"/>
      <c r="AD22" s="444"/>
      <c r="AE22" s="444" t="s">
        <v>20</v>
      </c>
      <c r="AF22" s="444"/>
      <c r="AG22" s="444">
        <f>AG21</f>
        <v>0</v>
      </c>
      <c r="AH22" s="444">
        <f>(AG3+AG4)*AG5*AG1/2+30*AG5</f>
        <v>0</v>
      </c>
      <c r="AI22" s="444"/>
      <c r="AJ22" s="444"/>
      <c r="AK22" s="444"/>
      <c r="AL22" s="444"/>
      <c r="AM22" s="444"/>
      <c r="AN22" s="444" t="e">
        <f>IF(AM8=AN1,AN13,IF(AM8=AP1,AP13,IF(AM8=AR1,AR13,IF(AM8=AT1,AT13,IF(AM8=AV1,AV13,AX13)))))</f>
        <v>#DIV/0!</v>
      </c>
      <c r="AO22" s="444" t="e">
        <f>IF(AM8=AN1,AO13,IF(AM8=AP1,AQ13,IF(AM8=AR1,AS13,IF(AM8=AT1,AU13,IF(AM8=AV1,AW13,AY13)))))</f>
        <v>#DIV/0!</v>
      </c>
      <c r="AP22" s="444">
        <f>IF(AM8=AN1,AO1,IF(AM8=AP1,AQ1,IF(AM8=AR1,AS1,IF(AM8=AT1,AU1,IF(AM8=AV1,AW1,AY1)))))</f>
        <v>70000000000</v>
      </c>
      <c r="AQ22" s="444"/>
      <c r="AR22" s="444"/>
      <c r="AS22" s="444"/>
      <c r="AT22" s="444"/>
      <c r="AU22" s="444"/>
      <c r="AV22" s="444"/>
      <c r="AW22" s="444"/>
      <c r="AX22" s="444"/>
      <c r="AY22" s="444"/>
      <c r="AZ22" s="444"/>
      <c r="BA22" s="444"/>
      <c r="BB22" s="444"/>
      <c r="BC22" s="235"/>
      <c r="BD22" s="235"/>
      <c r="BE22" s="235"/>
      <c r="BF22" s="235"/>
      <c r="BG22" s="235"/>
      <c r="BH22" s="235"/>
      <c r="BI22" s="235"/>
      <c r="BJ22" s="235"/>
      <c r="BK22" s="235"/>
      <c r="BL22" s="235"/>
    </row>
    <row r="23" spans="2:64" x14ac:dyDescent="0.25">
      <c r="B23" s="9"/>
      <c r="C23" s="10"/>
      <c r="D23" s="10"/>
      <c r="E23" s="10"/>
      <c r="F23" s="10"/>
      <c r="G23" s="10"/>
      <c r="H23" s="10"/>
      <c r="I23" s="10"/>
      <c r="J23" s="10"/>
      <c r="K23" s="6"/>
      <c r="L23" s="6"/>
      <c r="M23" s="6"/>
      <c r="N23" s="537"/>
      <c r="O23" s="537"/>
      <c r="P23" s="537"/>
      <c r="Q23" s="537"/>
      <c r="R23" s="537"/>
      <c r="S23" s="28"/>
      <c r="AC23" s="444"/>
      <c r="AD23" s="444"/>
      <c r="AE23" s="444"/>
      <c r="AF23" s="444"/>
      <c r="AG23" s="444"/>
      <c r="AH23" s="444"/>
      <c r="AI23" s="444"/>
      <c r="AJ23" s="444"/>
      <c r="AK23" s="444"/>
      <c r="AL23" s="444"/>
      <c r="AM23" s="444"/>
      <c r="AN23" s="444"/>
      <c r="AO23" s="444"/>
      <c r="AP23" s="444"/>
      <c r="AQ23" s="444"/>
      <c r="AR23" s="444"/>
      <c r="AS23" s="444"/>
      <c r="AT23" s="444"/>
      <c r="AU23" s="444"/>
      <c r="AV23" s="444"/>
      <c r="AW23" s="444"/>
      <c r="AX23" s="444"/>
      <c r="AY23" s="444"/>
      <c r="AZ23" s="444"/>
      <c r="BA23" s="444"/>
      <c r="BB23" s="444"/>
      <c r="BC23" s="235"/>
      <c r="BD23" s="235"/>
      <c r="BE23" s="235"/>
      <c r="BF23" s="235"/>
      <c r="BG23" s="235"/>
      <c r="BH23" s="235"/>
      <c r="BI23" s="235"/>
      <c r="BJ23" s="235"/>
      <c r="BK23" s="235"/>
      <c r="BL23" s="235"/>
    </row>
    <row r="24" spans="2:64" x14ac:dyDescent="0.25">
      <c r="B24" s="9"/>
      <c r="C24" s="10"/>
      <c r="D24" s="10"/>
      <c r="E24" s="10"/>
      <c r="F24" s="10"/>
      <c r="G24" s="10"/>
      <c r="H24" s="10"/>
      <c r="I24" s="10"/>
      <c r="J24" s="10"/>
      <c r="K24" s="32"/>
      <c r="L24" s="32"/>
      <c r="M24" s="10"/>
      <c r="N24" s="538"/>
      <c r="O24" s="538"/>
      <c r="P24" s="538"/>
      <c r="Q24" s="538"/>
      <c r="R24" s="538"/>
      <c r="S24" s="15"/>
      <c r="AC24" s="444"/>
      <c r="AD24" s="444"/>
      <c r="AE24" s="444"/>
      <c r="AF24" s="444"/>
      <c r="AG24" s="444"/>
      <c r="AH24" s="444"/>
      <c r="AI24" s="444"/>
      <c r="AJ24" s="444"/>
      <c r="AK24" s="444"/>
      <c r="AL24" s="444"/>
      <c r="AM24" s="444"/>
      <c r="AN24" s="444"/>
      <c r="AO24" s="444"/>
      <c r="AP24" s="444"/>
      <c r="AQ24" s="444"/>
      <c r="AR24" s="444"/>
      <c r="AS24" s="444"/>
      <c r="AT24" s="444"/>
      <c r="AU24" s="444"/>
      <c r="AV24" s="444"/>
      <c r="AW24" s="444"/>
      <c r="AX24" s="444"/>
      <c r="AY24" s="444"/>
      <c r="AZ24" s="444"/>
      <c r="BA24" s="444"/>
      <c r="BB24" s="444"/>
      <c r="BC24" s="235"/>
      <c r="BD24" s="235"/>
      <c r="BE24" s="235"/>
      <c r="BF24" s="235"/>
      <c r="BG24" s="235"/>
      <c r="BH24" s="235"/>
      <c r="BI24" s="235"/>
      <c r="BJ24" s="235"/>
      <c r="BK24" s="235"/>
      <c r="BL24" s="235"/>
    </row>
    <row r="25" spans="2:64" x14ac:dyDescent="0.25">
      <c r="B25" s="9"/>
      <c r="C25" s="10"/>
      <c r="D25" s="10"/>
      <c r="E25" s="10"/>
      <c r="F25" s="10"/>
      <c r="G25" s="10"/>
      <c r="H25" s="10"/>
      <c r="I25" s="10"/>
      <c r="J25" s="10"/>
      <c r="K25" s="33"/>
      <c r="L25" s="6"/>
      <c r="M25" s="6"/>
      <c r="N25" s="537"/>
      <c r="O25" s="537"/>
      <c r="P25" s="537"/>
      <c r="Q25" s="537"/>
      <c r="R25" s="537"/>
      <c r="S25" s="28"/>
      <c r="AC25" s="444"/>
      <c r="AD25" s="444"/>
      <c r="AE25" s="444"/>
      <c r="AF25" s="444"/>
      <c r="AG25" s="444"/>
      <c r="AH25" s="444"/>
      <c r="AI25" s="444"/>
      <c r="AJ25" s="444"/>
      <c r="AK25" s="444"/>
      <c r="AL25" s="444"/>
      <c r="AM25" s="444"/>
      <c r="AN25" s="444"/>
      <c r="AO25" s="444"/>
      <c r="AP25" s="444"/>
      <c r="AQ25" s="444"/>
      <c r="AR25" s="444"/>
      <c r="AS25" s="444"/>
      <c r="AT25" s="444"/>
      <c r="AU25" s="444"/>
      <c r="AV25" s="444"/>
      <c r="AW25" s="444"/>
      <c r="AX25" s="444"/>
      <c r="AY25" s="444"/>
      <c r="AZ25" s="444"/>
      <c r="BA25" s="444"/>
      <c r="BB25" s="444"/>
      <c r="BC25" s="235"/>
      <c r="BD25" s="235"/>
      <c r="BE25" s="235"/>
      <c r="BF25" s="235"/>
      <c r="BG25" s="235"/>
      <c r="BH25" s="235"/>
      <c r="BI25" s="235"/>
      <c r="BJ25" s="235"/>
      <c r="BK25" s="235"/>
      <c r="BL25" s="235"/>
    </row>
    <row r="26" spans="2:64" x14ac:dyDescent="0.25">
      <c r="B26" s="9"/>
      <c r="C26" s="10"/>
      <c r="D26" s="10"/>
      <c r="E26" s="10"/>
      <c r="F26" s="10"/>
      <c r="G26" s="10"/>
      <c r="H26" s="10"/>
      <c r="I26" s="10"/>
      <c r="J26" s="10"/>
      <c r="K26" s="6"/>
      <c r="L26" s="6"/>
      <c r="M26" s="6"/>
      <c r="N26" s="537"/>
      <c r="O26" s="537"/>
      <c r="P26" s="537"/>
      <c r="Q26" s="537"/>
      <c r="R26" s="537"/>
      <c r="S26" s="28"/>
      <c r="AC26" s="444"/>
      <c r="AD26" s="444"/>
      <c r="AE26" s="444"/>
      <c r="AF26" s="444"/>
      <c r="AG26" s="444"/>
      <c r="AH26" s="444"/>
      <c r="AI26" s="444"/>
      <c r="AJ26" s="444"/>
      <c r="AK26" s="444"/>
      <c r="AL26" s="444"/>
      <c r="AM26" s="444"/>
      <c r="AN26" s="444"/>
      <c r="AO26" s="444"/>
      <c r="AP26" s="444"/>
      <c r="AQ26" s="444"/>
      <c r="AR26" s="444"/>
      <c r="AS26" s="444"/>
      <c r="AT26" s="444"/>
      <c r="AU26" s="444"/>
      <c r="AV26" s="444"/>
      <c r="AW26" s="444"/>
      <c r="AX26" s="444"/>
      <c r="AY26" s="444"/>
      <c r="AZ26" s="444"/>
      <c r="BA26" s="444"/>
      <c r="BB26" s="444"/>
      <c r="BC26" s="235"/>
      <c r="BD26" s="235"/>
      <c r="BE26" s="235"/>
      <c r="BF26" s="235"/>
      <c r="BG26" s="235"/>
      <c r="BH26" s="235"/>
      <c r="BI26" s="235"/>
      <c r="BJ26" s="235"/>
      <c r="BK26" s="235"/>
      <c r="BL26" s="235"/>
    </row>
    <row r="27" spans="2:64" x14ac:dyDescent="0.25">
      <c r="B27" s="9"/>
      <c r="C27" s="10"/>
      <c r="D27" s="10"/>
      <c r="E27" s="10"/>
      <c r="F27" s="10"/>
      <c r="G27" s="10"/>
      <c r="H27" s="10"/>
      <c r="I27" s="10"/>
      <c r="J27" s="10"/>
      <c r="K27" s="34"/>
      <c r="L27" s="6"/>
      <c r="M27" s="6"/>
      <c r="N27" s="6"/>
      <c r="O27" s="6"/>
      <c r="P27" s="6"/>
      <c r="Q27" s="26"/>
      <c r="R27" s="26"/>
      <c r="S27" s="15"/>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B27" s="444"/>
      <c r="BC27" s="235"/>
      <c r="BD27" s="235"/>
      <c r="BE27" s="235"/>
      <c r="BF27" s="235"/>
      <c r="BG27" s="235"/>
      <c r="BH27" s="235"/>
      <c r="BI27" s="235"/>
      <c r="BJ27" s="235"/>
      <c r="BK27" s="235"/>
      <c r="BL27" s="235"/>
    </row>
    <row r="28" spans="2:64" x14ac:dyDescent="0.25">
      <c r="B28" s="9"/>
      <c r="C28" s="10"/>
      <c r="D28" s="10"/>
      <c r="E28" s="10"/>
      <c r="F28" s="10"/>
      <c r="G28" s="10"/>
      <c r="H28" s="10"/>
      <c r="I28" s="10"/>
      <c r="J28" s="10"/>
      <c r="K28" s="33"/>
      <c r="L28" s="6"/>
      <c r="M28" s="6"/>
      <c r="N28" s="6"/>
      <c r="O28" s="6"/>
      <c r="P28" s="6"/>
      <c r="Q28" s="26"/>
      <c r="R28" s="10"/>
      <c r="S28" s="15"/>
      <c r="AC28" s="444"/>
      <c r="AD28" s="444"/>
      <c r="AE28" s="444"/>
      <c r="AF28" s="444"/>
      <c r="AG28" s="444"/>
      <c r="AH28" s="444"/>
      <c r="AI28" s="444"/>
      <c r="AJ28" s="444"/>
      <c r="AK28" s="444"/>
      <c r="AL28" s="444"/>
      <c r="AM28" s="444"/>
      <c r="AN28" s="444"/>
      <c r="AO28" s="444"/>
      <c r="AP28" s="444"/>
      <c r="AQ28" s="444"/>
      <c r="AR28" s="444"/>
      <c r="AS28" s="444"/>
      <c r="AT28" s="444"/>
      <c r="AU28" s="444"/>
      <c r="AV28" s="444"/>
      <c r="AW28" s="444"/>
      <c r="AX28" s="444"/>
      <c r="AY28" s="444"/>
      <c r="AZ28" s="444"/>
      <c r="BA28" s="444"/>
      <c r="BB28" s="444"/>
      <c r="BC28" s="235"/>
      <c r="BD28" s="235"/>
      <c r="BE28" s="235"/>
      <c r="BF28" s="235"/>
      <c r="BG28" s="235"/>
      <c r="BH28" s="235"/>
      <c r="BI28" s="235"/>
      <c r="BJ28" s="235"/>
      <c r="BK28" s="235"/>
      <c r="BL28" s="235"/>
    </row>
    <row r="29" spans="2:64" x14ac:dyDescent="0.25">
      <c r="B29" s="9"/>
      <c r="C29" s="10"/>
      <c r="D29" s="10"/>
      <c r="E29" s="10"/>
      <c r="F29" s="10"/>
      <c r="G29" s="10"/>
      <c r="H29" s="10"/>
      <c r="I29" s="10"/>
      <c r="J29" s="10"/>
      <c r="K29" s="33"/>
      <c r="L29" s="6"/>
      <c r="M29" s="6"/>
      <c r="N29" s="6"/>
      <c r="O29" s="6"/>
      <c r="P29" s="6"/>
      <c r="Q29" s="6"/>
      <c r="R29" s="6"/>
      <c r="S29" s="28"/>
      <c r="AC29" s="444"/>
      <c r="AD29" s="444"/>
      <c r="AE29" s="444"/>
      <c r="AF29" s="444"/>
      <c r="AG29" s="444"/>
      <c r="AH29" s="444"/>
      <c r="AI29" s="444"/>
      <c r="AJ29" s="444"/>
      <c r="AK29" s="444"/>
      <c r="AL29" s="444"/>
      <c r="AM29" s="444"/>
      <c r="AN29" s="444"/>
      <c r="AO29" s="444"/>
      <c r="AP29" s="444"/>
      <c r="AQ29" s="444"/>
      <c r="AR29" s="444"/>
      <c r="AS29" s="444"/>
      <c r="AT29" s="444"/>
      <c r="AU29" s="444"/>
      <c r="AV29" s="444"/>
      <c r="AW29" s="444"/>
      <c r="AX29" s="444"/>
      <c r="AY29" s="444"/>
      <c r="AZ29" s="444"/>
      <c r="BA29" s="444"/>
      <c r="BB29" s="444"/>
      <c r="BC29" s="234"/>
      <c r="BD29" s="234"/>
      <c r="BE29" s="235"/>
      <c r="BF29" s="235"/>
      <c r="BG29" s="235"/>
      <c r="BH29" s="235"/>
      <c r="BI29" s="235"/>
      <c r="BJ29" s="235"/>
      <c r="BK29" s="235"/>
      <c r="BL29" s="235"/>
    </row>
    <row r="30" spans="2:64" x14ac:dyDescent="0.25">
      <c r="B30" s="9"/>
      <c r="C30" s="10"/>
      <c r="D30" s="10"/>
      <c r="E30" s="10"/>
      <c r="F30" s="10"/>
      <c r="G30" s="10"/>
      <c r="H30" s="10"/>
      <c r="I30" s="10"/>
      <c r="J30" s="10"/>
      <c r="K30" s="33"/>
      <c r="L30" s="6"/>
      <c r="M30" s="6"/>
      <c r="N30" s="6"/>
      <c r="O30" s="6"/>
      <c r="P30" s="6"/>
      <c r="Q30" s="6"/>
      <c r="R30" s="6"/>
      <c r="S30" s="28"/>
      <c r="AC30" s="444"/>
      <c r="AD30" s="444"/>
      <c r="AE30" s="444"/>
      <c r="AF30" s="444"/>
      <c r="AG30" s="444"/>
      <c r="AH30" s="444"/>
      <c r="AI30" s="444"/>
      <c r="AJ30" s="444"/>
      <c r="AK30" s="444"/>
      <c r="AL30" s="444"/>
      <c r="AM30" s="444"/>
      <c r="AN30" s="444"/>
      <c r="AO30" s="444"/>
      <c r="AP30" s="444"/>
      <c r="AQ30" s="444"/>
      <c r="AR30" s="444"/>
      <c r="AS30" s="444"/>
      <c r="AT30" s="444"/>
      <c r="AU30" s="444"/>
      <c r="AV30" s="444"/>
      <c r="AW30" s="444"/>
      <c r="AX30" s="444"/>
      <c r="AY30" s="444"/>
      <c r="AZ30" s="444"/>
      <c r="BA30" s="444"/>
      <c r="BB30" s="444"/>
      <c r="BC30" s="234"/>
      <c r="BD30" s="234"/>
      <c r="BE30" s="235"/>
      <c r="BF30" s="235"/>
      <c r="BG30" s="235"/>
      <c r="BH30" s="235"/>
      <c r="BI30" s="235"/>
      <c r="BJ30" s="235"/>
      <c r="BK30" s="235"/>
      <c r="BL30" s="235"/>
    </row>
    <row r="31" spans="2:64" x14ac:dyDescent="0.25">
      <c r="B31" s="9"/>
      <c r="C31" s="10"/>
      <c r="D31" s="10"/>
      <c r="E31" s="10"/>
      <c r="F31" s="10"/>
      <c r="G31" s="10"/>
      <c r="H31" s="10"/>
      <c r="I31" s="10"/>
      <c r="J31" s="10"/>
      <c r="K31" s="33"/>
      <c r="L31" s="6"/>
      <c r="M31" s="6"/>
      <c r="N31" s="6"/>
      <c r="O31" s="6"/>
      <c r="P31" s="6"/>
      <c r="Q31" s="6"/>
      <c r="R31" s="6"/>
      <c r="S31" s="28"/>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234"/>
      <c r="BD31" s="234"/>
      <c r="BE31" s="235"/>
      <c r="BF31" s="235"/>
      <c r="BG31" s="235"/>
      <c r="BH31" s="235"/>
      <c r="BI31" s="235"/>
      <c r="BJ31" s="235"/>
      <c r="BK31" s="235"/>
      <c r="BL31" s="235"/>
    </row>
    <row r="32" spans="2:64" x14ac:dyDescent="0.25">
      <c r="B32" s="9"/>
      <c r="C32" s="10"/>
      <c r="D32" s="10"/>
      <c r="E32" s="10"/>
      <c r="F32" s="10"/>
      <c r="G32" s="10"/>
      <c r="H32" s="10"/>
      <c r="I32" s="10"/>
      <c r="J32" s="10"/>
      <c r="K32" s="10"/>
      <c r="L32" s="6"/>
      <c r="M32" s="6"/>
      <c r="N32" s="6"/>
      <c r="O32" s="6"/>
      <c r="P32" s="6"/>
      <c r="Q32" s="6"/>
      <c r="R32" s="6"/>
      <c r="S32" s="28"/>
      <c r="U32" s="234" t="s">
        <v>79</v>
      </c>
      <c r="AC32" s="444"/>
      <c r="AD32" s="444"/>
      <c r="AE32" s="444"/>
      <c r="AF32" s="444"/>
      <c r="AG32" s="444"/>
      <c r="AH32" s="444"/>
      <c r="AI32" s="444"/>
      <c r="AJ32" s="444"/>
      <c r="AK32" s="444"/>
      <c r="AL32" s="444"/>
      <c r="AM32" s="444"/>
      <c r="AN32" s="444"/>
      <c r="AO32" s="444"/>
      <c r="AP32" s="444"/>
      <c r="AQ32" s="444"/>
      <c r="AR32" s="444"/>
      <c r="AS32" s="444"/>
      <c r="AT32" s="444"/>
      <c r="AU32" s="444"/>
      <c r="AV32" s="444"/>
      <c r="AW32" s="444"/>
      <c r="AX32" s="444"/>
      <c r="AY32" s="444"/>
      <c r="AZ32" s="444"/>
      <c r="BA32" s="444"/>
      <c r="BB32" s="444"/>
      <c r="BC32" s="234"/>
      <c r="BD32" s="234"/>
      <c r="BE32" s="235"/>
      <c r="BF32" s="235"/>
      <c r="BG32" s="235"/>
      <c r="BH32" s="235"/>
      <c r="BI32" s="235"/>
      <c r="BJ32" s="235"/>
      <c r="BK32" s="235"/>
      <c r="BL32" s="235"/>
    </row>
    <row r="33" spans="2:64" x14ac:dyDescent="0.25">
      <c r="B33" s="5"/>
      <c r="C33" s="10"/>
      <c r="D33" s="10"/>
      <c r="E33" s="10"/>
      <c r="F33" s="10"/>
      <c r="G33" s="10"/>
      <c r="H33" s="10"/>
      <c r="I33" s="10"/>
      <c r="J33" s="10"/>
      <c r="K33" s="6"/>
      <c r="L33" s="6"/>
      <c r="M33" s="6"/>
      <c r="N33" s="6"/>
      <c r="O33" s="6"/>
      <c r="P33" s="6"/>
      <c r="Q33" s="6"/>
      <c r="R33" s="6"/>
      <c r="S33" s="28"/>
      <c r="U33" s="234" t="s">
        <v>190</v>
      </c>
      <c r="AC33" s="444"/>
      <c r="AD33" s="444"/>
      <c r="AE33" s="444"/>
      <c r="AF33" s="444"/>
      <c r="AG33" s="444"/>
      <c r="AH33" s="444"/>
      <c r="AI33" s="444"/>
      <c r="AJ33" s="444"/>
      <c r="AK33" s="444"/>
      <c r="AL33" s="444"/>
      <c r="AM33" s="444"/>
      <c r="AN33" s="444"/>
      <c r="AO33" s="444"/>
      <c r="AP33" s="444"/>
      <c r="AQ33" s="444"/>
      <c r="AR33" s="444"/>
      <c r="AS33" s="444"/>
      <c r="AT33" s="444"/>
      <c r="AU33" s="444"/>
      <c r="AV33" s="444"/>
      <c r="AW33" s="444"/>
      <c r="AX33" s="444"/>
      <c r="AY33" s="444"/>
      <c r="AZ33" s="444"/>
      <c r="BA33" s="444"/>
      <c r="BB33" s="444"/>
      <c r="BC33" s="234"/>
      <c r="BD33" s="234"/>
      <c r="BE33" s="235"/>
      <c r="BF33" s="235"/>
      <c r="BG33" s="235"/>
      <c r="BH33" s="235"/>
      <c r="BI33" s="235"/>
      <c r="BJ33" s="235"/>
      <c r="BK33" s="235"/>
      <c r="BL33" s="235"/>
    </row>
    <row r="34" spans="2:64" x14ac:dyDescent="0.25">
      <c r="B34" s="5"/>
      <c r="C34" s="10"/>
      <c r="D34" s="10"/>
      <c r="E34" s="10"/>
      <c r="F34" s="10"/>
      <c r="G34" s="10"/>
      <c r="H34" s="10"/>
      <c r="I34" s="10"/>
      <c r="J34" s="10"/>
      <c r="K34" s="6"/>
      <c r="L34" s="6"/>
      <c r="M34" s="6"/>
      <c r="N34" s="6"/>
      <c r="O34" s="6"/>
      <c r="P34" s="6"/>
      <c r="Q34" s="6"/>
      <c r="R34" s="6"/>
      <c r="S34" s="28"/>
      <c r="AC34" s="444"/>
      <c r="AD34" s="444"/>
      <c r="AE34" s="444"/>
      <c r="AF34" s="444"/>
      <c r="AG34" s="444"/>
      <c r="AH34" s="444"/>
      <c r="AI34" s="444"/>
      <c r="AJ34" s="444"/>
      <c r="AK34" s="444"/>
      <c r="AL34" s="444"/>
      <c r="AM34" s="444"/>
      <c r="AN34" s="444"/>
      <c r="AO34" s="444"/>
      <c r="AP34" s="444"/>
      <c r="AQ34" s="444"/>
      <c r="AR34" s="444"/>
      <c r="AS34" s="444"/>
      <c r="AT34" s="444"/>
      <c r="AU34" s="444"/>
      <c r="AV34" s="444"/>
      <c r="AW34" s="444"/>
      <c r="AX34" s="444"/>
      <c r="AY34" s="444"/>
      <c r="AZ34" s="444"/>
      <c r="BA34" s="444"/>
      <c r="BB34" s="444"/>
      <c r="BC34" s="234"/>
      <c r="BD34" s="234"/>
      <c r="BE34" s="235"/>
      <c r="BF34" s="235"/>
      <c r="BG34" s="235"/>
      <c r="BH34" s="235"/>
      <c r="BI34" s="235"/>
      <c r="BJ34" s="235"/>
      <c r="BK34" s="235"/>
      <c r="BL34" s="235"/>
    </row>
    <row r="35" spans="2:64" x14ac:dyDescent="0.25">
      <c r="B35" s="5"/>
      <c r="C35" s="10"/>
      <c r="D35" s="10"/>
      <c r="E35" s="10"/>
      <c r="F35" s="10"/>
      <c r="G35" s="10"/>
      <c r="H35" s="10"/>
      <c r="I35" s="10"/>
      <c r="J35" s="10"/>
      <c r="K35" s="6"/>
      <c r="L35" s="6"/>
      <c r="M35" s="6"/>
      <c r="N35" s="6"/>
      <c r="O35" s="6"/>
      <c r="P35" s="6"/>
      <c r="Q35" s="6"/>
      <c r="R35" s="6"/>
      <c r="S35" s="28"/>
      <c r="BC35" s="235"/>
      <c r="BD35" s="235"/>
      <c r="BE35" s="235"/>
      <c r="BF35" s="235"/>
      <c r="BG35" s="235"/>
      <c r="BH35" s="235"/>
      <c r="BI35" s="235"/>
      <c r="BJ35" s="235"/>
      <c r="BK35" s="235"/>
      <c r="BL35" s="235"/>
    </row>
    <row r="36" spans="2:64" x14ac:dyDescent="0.25">
      <c r="B36" s="5"/>
      <c r="C36" s="10"/>
      <c r="D36" s="10"/>
      <c r="E36" s="10"/>
      <c r="F36" s="10"/>
      <c r="G36" s="10"/>
      <c r="H36" s="10"/>
      <c r="I36" s="10"/>
      <c r="J36" s="10"/>
      <c r="K36" s="6"/>
      <c r="L36" s="6"/>
      <c r="M36" s="6"/>
      <c r="N36" s="6"/>
      <c r="O36" s="6"/>
      <c r="P36" s="6"/>
      <c r="Q36" s="6"/>
      <c r="R36" s="6"/>
      <c r="S36" s="28"/>
      <c r="BC36" s="235"/>
      <c r="BD36" s="235"/>
      <c r="BE36" s="235"/>
      <c r="BF36" s="235"/>
      <c r="BG36" s="235"/>
      <c r="BH36" s="235"/>
      <c r="BI36" s="235"/>
      <c r="BJ36" s="235"/>
      <c r="BK36" s="235"/>
      <c r="BL36" s="235"/>
    </row>
    <row r="37" spans="2:64" x14ac:dyDescent="0.25">
      <c r="B37" s="5"/>
      <c r="C37" s="10"/>
      <c r="D37" s="539"/>
      <c r="E37" s="539"/>
      <c r="F37" s="10"/>
      <c r="G37" s="10"/>
      <c r="H37" s="10"/>
      <c r="I37" s="10"/>
      <c r="J37" s="10"/>
      <c r="K37" s="10"/>
      <c r="L37" s="10"/>
      <c r="M37" s="35"/>
      <c r="N37" s="36"/>
      <c r="O37" s="10"/>
      <c r="P37" s="36"/>
      <c r="Q37" s="10"/>
      <c r="R37" s="34"/>
      <c r="S37" s="37"/>
    </row>
    <row r="38" spans="2:64" x14ac:dyDescent="0.25">
      <c r="B38" s="5"/>
      <c r="C38" s="10"/>
      <c r="D38" s="10"/>
      <c r="E38" s="38"/>
      <c r="F38" s="10"/>
      <c r="G38" s="10"/>
      <c r="H38" s="10"/>
      <c r="I38" s="10"/>
      <c r="J38" s="6"/>
      <c r="K38" s="6"/>
      <c r="L38" s="6"/>
      <c r="M38" s="6"/>
      <c r="N38" s="39"/>
      <c r="O38" s="10"/>
      <c r="P38" s="36"/>
      <c r="Q38" s="10"/>
      <c r="R38" s="34"/>
      <c r="S38" s="37"/>
    </row>
    <row r="39" spans="2:64" x14ac:dyDescent="0.25">
      <c r="B39" s="5"/>
      <c r="C39" s="33"/>
      <c r="D39" s="33" t="s">
        <v>60</v>
      </c>
      <c r="E39" s="38"/>
      <c r="F39" s="40"/>
      <c r="G39" s="41"/>
      <c r="H39" s="40" t="s">
        <v>61</v>
      </c>
      <c r="I39" s="6"/>
      <c r="J39" s="6"/>
      <c r="K39" s="6"/>
      <c r="L39" s="6"/>
      <c r="M39" s="6"/>
      <c r="N39" s="6"/>
      <c r="O39" s="6"/>
      <c r="P39" s="6"/>
      <c r="Q39" s="6"/>
      <c r="R39" s="34"/>
      <c r="S39" s="37"/>
    </row>
    <row r="40" spans="2:64" x14ac:dyDescent="0.25">
      <c r="B40" s="5"/>
      <c r="C40" s="33"/>
      <c r="D40" s="31"/>
      <c r="E40" s="38"/>
      <c r="F40" s="31"/>
      <c r="G40" s="38"/>
      <c r="H40" s="38"/>
      <c r="I40" s="6"/>
      <c r="J40" s="6"/>
      <c r="K40" s="6"/>
      <c r="L40" s="6"/>
      <c r="M40" s="6"/>
      <c r="N40" s="6"/>
      <c r="O40" s="6"/>
      <c r="P40" s="6"/>
      <c r="Q40" s="6"/>
      <c r="R40" s="6"/>
      <c r="S40" s="28"/>
    </row>
    <row r="41" spans="2:64" x14ac:dyDescent="0.25">
      <c r="B41" s="42"/>
      <c r="C41" s="33"/>
      <c r="D41" s="43" t="s">
        <v>62</v>
      </c>
      <c r="E41" s="38"/>
      <c r="F41" s="43"/>
      <c r="G41" s="533" t="s">
        <v>79</v>
      </c>
      <c r="H41" s="534"/>
      <c r="I41" s="535"/>
      <c r="K41" s="44"/>
      <c r="L41" s="6" t="s">
        <v>67</v>
      </c>
      <c r="M41" s="6"/>
      <c r="N41" s="45"/>
      <c r="O41" s="46"/>
      <c r="P41" s="46"/>
      <c r="Q41" s="46"/>
      <c r="R41" s="10"/>
      <c r="S41" s="15"/>
    </row>
    <row r="42" spans="2:64" x14ac:dyDescent="0.25">
      <c r="B42" s="42"/>
      <c r="C42" s="33"/>
      <c r="D42" s="31"/>
      <c r="E42" s="38"/>
      <c r="F42" s="31"/>
      <c r="G42" s="38"/>
      <c r="H42" s="40"/>
      <c r="I42" s="6"/>
      <c r="J42" s="6"/>
      <c r="K42" s="6"/>
      <c r="L42" s="6"/>
      <c r="M42" s="6"/>
      <c r="N42" s="6"/>
      <c r="O42" s="46"/>
      <c r="Q42" s="16"/>
      <c r="R42" s="10"/>
      <c r="S42" s="15"/>
    </row>
    <row r="43" spans="2:64" ht="15.75" x14ac:dyDescent="0.25">
      <c r="B43" s="9"/>
      <c r="C43" s="33"/>
      <c r="D43" s="33" t="s">
        <v>64</v>
      </c>
      <c r="E43" s="38"/>
      <c r="F43" s="33"/>
      <c r="G43" s="41"/>
      <c r="H43" s="40" t="s">
        <v>65</v>
      </c>
      <c r="I43" s="6"/>
      <c r="J43" s="541" t="s">
        <v>66</v>
      </c>
      <c r="K43" s="541"/>
      <c r="L43" s="541"/>
      <c r="M43" s="541"/>
      <c r="N43" s="541"/>
      <c r="O43" s="541"/>
      <c r="P43" s="47">
        <f>IF(G41="Wind Load Custom",K41,ABS('BS6399-2 Standard Method'!L56))</f>
        <v>0</v>
      </c>
      <c r="Q43" s="48" t="s">
        <v>67</v>
      </c>
      <c r="R43" s="10"/>
      <c r="S43" s="15"/>
    </row>
    <row r="44" spans="2:64" x14ac:dyDescent="0.25">
      <c r="B44" s="9"/>
      <c r="C44" s="33"/>
      <c r="D44" s="31"/>
      <c r="E44" s="38"/>
      <c r="F44" s="31"/>
      <c r="G44" s="38"/>
      <c r="H44" s="40"/>
      <c r="I44" s="6"/>
      <c r="J44" s="6"/>
      <c r="K44" s="6"/>
      <c r="L44" s="6"/>
      <c r="M44" s="6"/>
      <c r="N44" s="6"/>
      <c r="O44" s="6"/>
      <c r="P44" s="6"/>
      <c r="Q44" s="10"/>
      <c r="R44" s="10"/>
      <c r="S44" s="15"/>
    </row>
    <row r="45" spans="2:64" ht="15.75" x14ac:dyDescent="0.25">
      <c r="B45" s="9"/>
      <c r="C45" s="33"/>
      <c r="D45" s="33" t="s">
        <v>68</v>
      </c>
      <c r="E45" s="38"/>
      <c r="F45" s="33"/>
      <c r="G45" s="41"/>
      <c r="H45" s="40" t="s">
        <v>65</v>
      </c>
      <c r="I45" s="6"/>
      <c r="J45" s="542" t="s">
        <v>69</v>
      </c>
      <c r="K45" s="542"/>
      <c r="L45" s="542"/>
      <c r="M45" s="6"/>
      <c r="N45" s="6"/>
      <c r="O45" s="543"/>
      <c r="P45" s="543"/>
      <c r="Q45" s="543"/>
      <c r="R45" s="10"/>
      <c r="S45" s="15"/>
    </row>
    <row r="46" spans="2:64" x14ac:dyDescent="0.25">
      <c r="B46" s="9"/>
      <c r="C46" s="10"/>
      <c r="D46" s="31"/>
      <c r="E46" s="38"/>
      <c r="F46" s="31"/>
      <c r="G46" s="38"/>
      <c r="H46" s="40"/>
      <c r="I46" s="6"/>
      <c r="J46" s="546" t="s">
        <v>29</v>
      </c>
      <c r="K46" s="547"/>
      <c r="L46" s="547"/>
      <c r="M46" s="547"/>
      <c r="N46" s="547"/>
      <c r="O46" s="548"/>
      <c r="P46" s="76"/>
      <c r="Q46" s="76"/>
      <c r="R46" s="10"/>
      <c r="S46" s="15"/>
    </row>
    <row r="47" spans="2:64" x14ac:dyDescent="0.25">
      <c r="B47" s="9"/>
      <c r="C47" s="10"/>
      <c r="D47" s="33" t="s">
        <v>70</v>
      </c>
      <c r="E47" s="38"/>
      <c r="F47" s="33"/>
      <c r="G47" s="41"/>
      <c r="H47" s="40" t="s">
        <v>65</v>
      </c>
      <c r="I47" s="6"/>
      <c r="J47" s="6"/>
      <c r="K47" s="6"/>
      <c r="L47" s="6"/>
      <c r="M47" s="6"/>
      <c r="N47" s="6"/>
      <c r="O47" s="6"/>
      <c r="P47" s="6"/>
      <c r="Q47" s="10"/>
      <c r="R47" s="10"/>
      <c r="S47" s="15"/>
    </row>
    <row r="48" spans="2:64" x14ac:dyDescent="0.25">
      <c r="B48" s="9"/>
      <c r="C48" s="33"/>
      <c r="D48" s="32"/>
      <c r="E48" s="31"/>
      <c r="F48" s="31"/>
      <c r="G48" s="10"/>
      <c r="H48" s="33"/>
      <c r="I48" s="6"/>
      <c r="J48" s="6"/>
      <c r="K48" s="6"/>
      <c r="L48" s="6"/>
      <c r="M48" s="6"/>
      <c r="N48" s="6"/>
      <c r="O48" s="6"/>
      <c r="P48" s="6"/>
      <c r="Q48" s="39"/>
      <c r="R48" s="29"/>
      <c r="S48" s="15"/>
    </row>
    <row r="49" spans="2:19" x14ac:dyDescent="0.25">
      <c r="B49" s="9"/>
      <c r="C49" s="6"/>
      <c r="D49" s="536" t="s">
        <v>209</v>
      </c>
      <c r="E49" s="536"/>
      <c r="F49" s="536"/>
      <c r="G49" s="536"/>
      <c r="H49" s="6"/>
      <c r="I49" s="10"/>
      <c r="J49" s="10"/>
      <c r="K49" s="10"/>
      <c r="L49" s="10"/>
      <c r="M49" s="10"/>
      <c r="N49" s="10"/>
      <c r="O49" s="10"/>
      <c r="P49" s="10"/>
      <c r="Q49" s="10"/>
      <c r="R49" s="10"/>
      <c r="S49" s="15"/>
    </row>
    <row r="50" spans="2:19" ht="18.75" x14ac:dyDescent="0.3">
      <c r="B50" s="9"/>
      <c r="C50" s="6"/>
      <c r="D50" s="555" t="s">
        <v>210</v>
      </c>
      <c r="E50" s="555"/>
      <c r="F50" s="555"/>
      <c r="G50" s="49">
        <f>AG7*1000</f>
        <v>0</v>
      </c>
      <c r="H50" s="33" t="s">
        <v>65</v>
      </c>
      <c r="I50" s="10"/>
      <c r="J50" s="556" t="s">
        <v>71</v>
      </c>
      <c r="K50" s="556"/>
      <c r="L50" s="556"/>
      <c r="M50" s="544" t="e">
        <f>AK2</f>
        <v>#DIV/0!</v>
      </c>
      <c r="N50" s="544"/>
      <c r="O50" s="544"/>
      <c r="P50" s="280"/>
      <c r="Q50" s="280"/>
      <c r="R50" s="36"/>
      <c r="S50" s="15"/>
    </row>
    <row r="51" spans="2:19" ht="15.75" x14ac:dyDescent="0.25">
      <c r="B51" s="9"/>
      <c r="C51" s="6"/>
      <c r="D51" s="540"/>
      <c r="E51" s="540"/>
      <c r="F51" s="540"/>
      <c r="G51" s="50"/>
      <c r="H51" s="33"/>
      <c r="I51" s="10"/>
      <c r="J51" s="51"/>
      <c r="K51" s="51"/>
      <c r="L51" s="51"/>
      <c r="M51" s="52"/>
      <c r="N51" s="51"/>
      <c r="O51" s="53"/>
      <c r="P51" s="53"/>
      <c r="Q51" s="36"/>
      <c r="R51" s="54"/>
      <c r="S51" s="15"/>
    </row>
    <row r="52" spans="2:19" ht="18.75" x14ac:dyDescent="0.3">
      <c r="B52" s="9"/>
      <c r="C52" s="10"/>
      <c r="D52" s="10"/>
      <c r="E52" s="10"/>
      <c r="F52" s="10"/>
      <c r="G52" s="10"/>
      <c r="H52" s="10"/>
      <c r="I52" s="10"/>
      <c r="J52" s="10" t="s">
        <v>72</v>
      </c>
      <c r="K52" s="10"/>
      <c r="L52" s="10"/>
      <c r="M52" s="38" t="e">
        <f>IF(M50="NA","NA",AG18*100000000)</f>
        <v>#DIV/0!</v>
      </c>
      <c r="N52" s="10" t="s">
        <v>16</v>
      </c>
      <c r="O52" s="10"/>
      <c r="P52" s="10"/>
      <c r="Q52" s="54"/>
      <c r="R52" s="55"/>
      <c r="S52" s="15"/>
    </row>
    <row r="53" spans="2:19" ht="18.75" x14ac:dyDescent="0.3">
      <c r="B53" s="9"/>
      <c r="C53" s="10"/>
      <c r="D53" s="10"/>
      <c r="E53" s="10"/>
      <c r="F53" s="10"/>
      <c r="G53" s="10"/>
      <c r="H53" s="10"/>
      <c r="I53" s="10"/>
      <c r="J53" s="10"/>
      <c r="K53" s="10"/>
      <c r="L53" s="10"/>
      <c r="M53" s="33"/>
      <c r="N53" s="10"/>
      <c r="O53" s="10"/>
      <c r="P53" s="10"/>
      <c r="Q53" s="55"/>
      <c r="R53" s="36"/>
      <c r="S53" s="56"/>
    </row>
    <row r="54" spans="2:19" x14ac:dyDescent="0.25">
      <c r="B54" s="9"/>
      <c r="C54" s="10"/>
      <c r="D54" s="6"/>
      <c r="E54" s="6"/>
      <c r="F54" s="6"/>
      <c r="G54" s="6"/>
      <c r="H54" s="10"/>
      <c r="I54" s="10"/>
      <c r="J54" s="10" t="s">
        <v>73</v>
      </c>
      <c r="K54" s="10"/>
      <c r="L54" s="10"/>
      <c r="M54" s="57" t="e">
        <f>IF(M50="NA","NA",AG19*1000)</f>
        <v>#DIV/0!</v>
      </c>
      <c r="N54" s="58" t="s">
        <v>65</v>
      </c>
      <c r="O54" s="59" t="s">
        <v>21</v>
      </c>
      <c r="P54" s="60" t="e">
        <f>IF(M50="NA","NA",AJ19)</f>
        <v>#DIV/0!</v>
      </c>
      <c r="Q54" s="10"/>
      <c r="R54" s="39"/>
      <c r="S54" s="15"/>
    </row>
    <row r="55" spans="2:19" x14ac:dyDescent="0.25">
      <c r="B55" s="9"/>
      <c r="C55" s="10"/>
      <c r="D55" s="6"/>
      <c r="E55" s="6"/>
      <c r="F55" s="6"/>
      <c r="G55" s="6"/>
      <c r="H55" s="10"/>
      <c r="I55" s="10"/>
      <c r="J55" s="10"/>
      <c r="K55" s="10"/>
      <c r="L55" s="10"/>
      <c r="M55" s="58"/>
      <c r="N55" s="58"/>
      <c r="O55" s="58"/>
      <c r="P55" s="58"/>
      <c r="Q55" s="61"/>
      <c r="R55" s="10"/>
      <c r="S55" s="15"/>
    </row>
    <row r="56" spans="2:19" x14ac:dyDescent="0.25">
      <c r="B56" s="9"/>
      <c r="C56" s="10"/>
      <c r="D56" s="6"/>
      <c r="E56" s="6"/>
      <c r="F56" s="6"/>
      <c r="G56" s="6"/>
      <c r="H56" s="10"/>
      <c r="I56" s="10"/>
      <c r="J56" s="10"/>
      <c r="K56" s="10"/>
      <c r="L56" s="10"/>
      <c r="M56" s="38" t="s">
        <v>74</v>
      </c>
      <c r="N56" s="58"/>
      <c r="O56" s="38" t="s">
        <v>75</v>
      </c>
      <c r="P56" s="58"/>
      <c r="Q56" s="10"/>
      <c r="R56" s="10"/>
      <c r="S56" s="15"/>
    </row>
    <row r="57" spans="2:19" x14ac:dyDescent="0.25">
      <c r="B57" s="9"/>
      <c r="C57" s="10"/>
      <c r="D57" s="6"/>
      <c r="E57" s="553"/>
      <c r="F57" s="553"/>
      <c r="G57" s="553"/>
      <c r="H57" s="10"/>
      <c r="I57" s="10"/>
      <c r="J57" s="10" t="s">
        <v>76</v>
      </c>
      <c r="K57" s="10"/>
      <c r="L57" s="10"/>
      <c r="M57" s="57">
        <f>AG21/1000</f>
        <v>0</v>
      </c>
      <c r="N57" s="58" t="s">
        <v>77</v>
      </c>
      <c r="O57" s="57">
        <v>0</v>
      </c>
      <c r="P57" s="38" t="s">
        <v>77</v>
      </c>
      <c r="Q57" s="10"/>
      <c r="R57" s="10"/>
      <c r="S57" s="15"/>
    </row>
    <row r="58" spans="2:19" x14ac:dyDescent="0.25">
      <c r="B58" s="9"/>
      <c r="C58" s="10"/>
      <c r="D58" s="6"/>
      <c r="E58" s="554"/>
      <c r="F58" s="554"/>
      <c r="G58" s="10"/>
      <c r="H58" s="10"/>
      <c r="I58" s="10"/>
      <c r="J58" s="10"/>
      <c r="K58" s="10"/>
      <c r="L58" s="10"/>
      <c r="M58" s="62"/>
      <c r="N58" s="63"/>
      <c r="O58" s="62"/>
      <c r="P58" s="38"/>
      <c r="Q58" s="10"/>
      <c r="R58" s="10"/>
      <c r="S58" s="15"/>
    </row>
    <row r="59" spans="2:19" x14ac:dyDescent="0.25">
      <c r="B59" s="9"/>
      <c r="C59" s="10"/>
      <c r="D59" s="6"/>
      <c r="E59" s="6"/>
      <c r="F59" s="6"/>
      <c r="G59" s="6"/>
      <c r="H59" s="10"/>
      <c r="I59" s="10"/>
      <c r="J59" s="10" t="s">
        <v>78</v>
      </c>
      <c r="K59" s="10"/>
      <c r="L59" s="10"/>
      <c r="M59" s="57">
        <f>AG22/1000</f>
        <v>0</v>
      </c>
      <c r="N59" s="58" t="s">
        <v>77</v>
      </c>
      <c r="O59" s="57">
        <f>AH22/1000</f>
        <v>0</v>
      </c>
      <c r="P59" s="38" t="s">
        <v>77</v>
      </c>
      <c r="Q59" s="10"/>
      <c r="R59" s="10"/>
      <c r="S59" s="15"/>
    </row>
    <row r="60" spans="2:19" x14ac:dyDescent="0.25">
      <c r="B60" s="9"/>
      <c r="C60" s="10"/>
      <c r="D60" s="6"/>
      <c r="E60" s="543"/>
      <c r="F60" s="543"/>
      <c r="G60" s="543"/>
      <c r="H60" s="10"/>
      <c r="I60" s="10"/>
      <c r="J60" s="6"/>
      <c r="K60" s="6"/>
      <c r="L60" s="6"/>
      <c r="M60" s="6"/>
      <c r="N60" s="6"/>
      <c r="O60" s="6"/>
      <c r="P60" s="6"/>
      <c r="Q60" s="64"/>
      <c r="R60" s="64"/>
      <c r="S60" s="15"/>
    </row>
    <row r="61" spans="2:19" x14ac:dyDescent="0.25">
      <c r="B61" s="9"/>
      <c r="C61" s="10"/>
      <c r="D61" s="6"/>
      <c r="E61" s="65"/>
      <c r="F61" s="66"/>
      <c r="G61" s="64"/>
      <c r="H61" s="10"/>
      <c r="I61" s="10"/>
      <c r="J61" s="6"/>
      <c r="K61" s="6"/>
      <c r="L61" s="6"/>
      <c r="M61" s="6"/>
      <c r="N61" s="6"/>
      <c r="O61" s="6"/>
      <c r="P61" s="6"/>
      <c r="Q61" s="67"/>
      <c r="R61" s="64"/>
      <c r="S61" s="15"/>
    </row>
    <row r="62" spans="2:19" x14ac:dyDescent="0.25">
      <c r="B62" s="9"/>
      <c r="C62" s="10"/>
      <c r="D62" s="6"/>
      <c r="E62" s="64"/>
      <c r="F62" s="64"/>
      <c r="G62" s="64"/>
      <c r="H62" s="10"/>
      <c r="I62" s="10"/>
      <c r="J62" s="6"/>
      <c r="K62" s="6"/>
      <c r="L62" s="6"/>
      <c r="M62" s="6"/>
      <c r="N62" s="6"/>
      <c r="O62" s="6"/>
      <c r="P62" s="6"/>
      <c r="Q62" s="64"/>
      <c r="R62" s="64"/>
      <c r="S62" s="15"/>
    </row>
    <row r="63" spans="2:19" x14ac:dyDescent="0.25">
      <c r="B63" s="5"/>
      <c r="C63" s="6"/>
      <c r="D63" s="6"/>
      <c r="E63" s="543"/>
      <c r="F63" s="543"/>
      <c r="G63" s="543"/>
      <c r="H63" s="10"/>
      <c r="I63" s="10"/>
      <c r="J63" s="6"/>
      <c r="K63" s="6"/>
      <c r="L63" s="6"/>
      <c r="M63" s="6"/>
      <c r="N63" s="6"/>
      <c r="O63" s="6"/>
      <c r="P63" s="6"/>
      <c r="Q63" s="67"/>
      <c r="R63" s="64"/>
      <c r="S63" s="15"/>
    </row>
    <row r="64" spans="2:19" x14ac:dyDescent="0.25">
      <c r="B64" s="5"/>
      <c r="C64" s="6"/>
      <c r="D64" s="58"/>
      <c r="E64" s="65"/>
      <c r="F64" s="66"/>
      <c r="G64" s="64"/>
      <c r="H64" s="6"/>
      <c r="I64" s="6"/>
      <c r="J64" s="6"/>
      <c r="K64" s="10"/>
      <c r="L64" s="540"/>
      <c r="M64" s="540"/>
      <c r="N64" s="549"/>
      <c r="O64" s="549"/>
      <c r="P64" s="549"/>
      <c r="Q64" s="549"/>
      <c r="R64" s="549"/>
      <c r="S64" s="15"/>
    </row>
    <row r="65" spans="2:19" ht="15.75" x14ac:dyDescent="0.25">
      <c r="B65" s="5"/>
      <c r="C65" s="6"/>
      <c r="D65" s="58"/>
      <c r="E65" s="68"/>
      <c r="F65" s="68"/>
      <c r="G65" s="68"/>
      <c r="H65" s="6"/>
      <c r="I65" s="6"/>
      <c r="J65" s="6"/>
      <c r="K65" s="69"/>
      <c r="L65" s="70"/>
      <c r="M65" s="10"/>
      <c r="N65" s="550"/>
      <c r="O65" s="550"/>
      <c r="P65" s="550"/>
      <c r="Q65" s="550"/>
      <c r="R65" s="550"/>
      <c r="S65" s="15"/>
    </row>
    <row r="66" spans="2:19" ht="18.75" x14ac:dyDescent="0.3">
      <c r="B66" s="5"/>
      <c r="C66" s="6"/>
      <c r="D66" s="58"/>
      <c r="E66" s="6"/>
      <c r="F66" s="6"/>
      <c r="G66" s="6"/>
      <c r="H66" s="6"/>
      <c r="I66" s="6"/>
      <c r="J66" s="6"/>
      <c r="K66" s="539"/>
      <c r="L66" s="539"/>
      <c r="M66" s="58"/>
      <c r="N66" s="55"/>
      <c r="O66" s="55"/>
      <c r="P66" s="55"/>
      <c r="Q66" s="55"/>
      <c r="R66" s="55"/>
      <c r="S66" s="15"/>
    </row>
    <row r="67" spans="2:19" x14ac:dyDescent="0.25">
      <c r="B67" s="5"/>
      <c r="C67" s="6"/>
      <c r="D67" s="58"/>
      <c r="E67" s="6"/>
      <c r="F67" s="6"/>
      <c r="G67" s="6"/>
      <c r="H67" s="6"/>
      <c r="I67" s="6"/>
      <c r="J67" s="6"/>
      <c r="K67" s="10"/>
      <c r="L67" s="71"/>
      <c r="M67" s="40"/>
      <c r="N67" s="33"/>
      <c r="O67" s="33"/>
      <c r="P67" s="33"/>
      <c r="Q67" s="33"/>
      <c r="R67" s="540"/>
      <c r="S67" s="551"/>
    </row>
    <row r="68" spans="2:19" x14ac:dyDescent="0.25">
      <c r="B68" s="5"/>
      <c r="C68" s="552"/>
      <c r="D68" s="552"/>
      <c r="E68" s="552"/>
      <c r="F68" s="58"/>
      <c r="G68" s="58"/>
      <c r="H68" s="6"/>
      <c r="I68" s="6"/>
      <c r="J68" s="6"/>
      <c r="K68" s="10"/>
      <c r="L68" s="10"/>
      <c r="M68" s="10"/>
      <c r="N68" s="10"/>
      <c r="O68" s="10"/>
      <c r="P68" s="10"/>
      <c r="Q68" s="10"/>
      <c r="R68" s="10"/>
      <c r="S68" s="15"/>
    </row>
    <row r="69" spans="2:19" x14ac:dyDescent="0.25">
      <c r="B69" s="5"/>
      <c r="C69" s="6"/>
      <c r="D69" s="58"/>
      <c r="E69" s="58"/>
      <c r="F69" s="58"/>
      <c r="G69" s="58"/>
      <c r="H69" s="6"/>
      <c r="I69" s="6"/>
      <c r="J69" s="6"/>
      <c r="K69" s="10"/>
      <c r="L69" s="10"/>
      <c r="M69" s="10"/>
      <c r="N69" s="10"/>
      <c r="O69" s="10"/>
      <c r="P69" s="10"/>
      <c r="Q69" s="10"/>
      <c r="R69" s="10"/>
      <c r="S69" s="15"/>
    </row>
    <row r="70" spans="2:19" x14ac:dyDescent="0.25">
      <c r="B70" s="5"/>
      <c r="C70" s="545"/>
      <c r="D70" s="545"/>
      <c r="E70" s="545"/>
      <c r="F70" s="58"/>
      <c r="G70" s="58"/>
      <c r="H70" s="6"/>
      <c r="I70" s="6"/>
      <c r="J70" s="6"/>
      <c r="K70" s="10"/>
      <c r="L70" s="10"/>
      <c r="M70" s="10"/>
      <c r="N70" s="540"/>
      <c r="O70" s="540"/>
      <c r="P70" s="10"/>
      <c r="Q70" s="10"/>
      <c r="R70" s="10"/>
      <c r="S70" s="15"/>
    </row>
    <row r="71" spans="2:19" x14ac:dyDescent="0.25">
      <c r="B71" s="5"/>
      <c r="C71" s="6"/>
      <c r="D71" s="58"/>
      <c r="E71" s="58"/>
      <c r="F71" s="58"/>
      <c r="G71" s="58"/>
      <c r="H71" s="6"/>
      <c r="I71" s="6"/>
      <c r="J71" s="6"/>
      <c r="K71" s="10"/>
      <c r="L71" s="10"/>
      <c r="M71" s="10"/>
      <c r="N71" s="10"/>
      <c r="O71" s="10"/>
      <c r="P71" s="10"/>
      <c r="Q71" s="10"/>
      <c r="R71" s="10"/>
      <c r="S71" s="15"/>
    </row>
    <row r="72" spans="2:19" x14ac:dyDescent="0.25">
      <c r="B72" s="5"/>
      <c r="C72" s="6"/>
      <c r="D72" s="58"/>
      <c r="E72" s="58"/>
      <c r="F72" s="58"/>
      <c r="G72" s="58"/>
      <c r="H72" s="6"/>
      <c r="I72" s="6"/>
      <c r="J72" s="6"/>
      <c r="K72" s="539"/>
      <c r="L72" s="539"/>
      <c r="M72" s="539"/>
      <c r="N72" s="539"/>
      <c r="O72" s="539"/>
      <c r="P72" s="539"/>
      <c r="Q72" s="539"/>
      <c r="R72" s="10"/>
      <c r="S72" s="15"/>
    </row>
    <row r="73" spans="2:19" x14ac:dyDescent="0.25">
      <c r="B73" s="5"/>
      <c r="C73" s="6"/>
      <c r="D73" s="58"/>
      <c r="E73" s="58"/>
      <c r="F73" s="58"/>
      <c r="G73" s="58"/>
      <c r="H73" s="6"/>
      <c r="I73" s="6"/>
      <c r="J73" s="6"/>
      <c r="K73" s="10"/>
      <c r="L73" s="10"/>
      <c r="M73" s="10"/>
      <c r="N73" s="10"/>
      <c r="O73" s="10"/>
      <c r="P73" s="10"/>
      <c r="Q73" s="10"/>
      <c r="R73" s="10"/>
      <c r="S73" s="15"/>
    </row>
    <row r="74" spans="2:19" x14ac:dyDescent="0.25">
      <c r="B74" s="5"/>
      <c r="C74" s="6"/>
      <c r="D74" s="58"/>
      <c r="E74" s="58"/>
      <c r="F74" s="58"/>
      <c r="G74" s="58"/>
      <c r="H74" s="6"/>
      <c r="I74" s="6"/>
      <c r="J74" s="6"/>
      <c r="K74" s="10"/>
      <c r="L74" s="10"/>
      <c r="M74" s="10"/>
      <c r="N74" s="10"/>
      <c r="O74" s="10"/>
      <c r="P74" s="10"/>
      <c r="Q74" s="10"/>
      <c r="R74" s="10"/>
      <c r="S74" s="15"/>
    </row>
    <row r="75" spans="2:19" x14ac:dyDescent="0.25">
      <c r="B75" s="5"/>
      <c r="C75" s="6"/>
      <c r="D75" s="58"/>
      <c r="E75" s="58"/>
      <c r="F75" s="58"/>
      <c r="G75" s="58"/>
      <c r="H75" s="6"/>
      <c r="I75" s="6"/>
      <c r="J75" s="6"/>
      <c r="K75" s="10"/>
      <c r="L75" s="10"/>
      <c r="M75" s="10"/>
      <c r="N75" s="10"/>
      <c r="O75" s="10"/>
      <c r="P75" s="10"/>
      <c r="Q75" s="10"/>
      <c r="R75" s="10"/>
      <c r="S75" s="15"/>
    </row>
    <row r="76" spans="2:19" x14ac:dyDescent="0.25">
      <c r="B76" s="5"/>
      <c r="C76" s="6"/>
      <c r="D76" s="58"/>
      <c r="E76" s="58"/>
      <c r="F76" s="58"/>
      <c r="G76" s="58"/>
      <c r="H76" s="6"/>
      <c r="I76" s="6"/>
      <c r="J76" s="6"/>
      <c r="K76" s="10"/>
      <c r="L76" s="10"/>
      <c r="M76" s="10"/>
      <c r="N76" s="10"/>
      <c r="O76" s="10"/>
      <c r="P76" s="10"/>
      <c r="Q76" s="10"/>
      <c r="R76" s="10"/>
      <c r="S76" s="15"/>
    </row>
    <row r="77" spans="2:19" x14ac:dyDescent="0.25">
      <c r="B77" s="5"/>
      <c r="C77" s="6"/>
      <c r="D77" s="58"/>
      <c r="E77" s="58"/>
      <c r="F77" s="58"/>
      <c r="G77" s="58"/>
      <c r="H77" s="6"/>
      <c r="I77" s="6"/>
      <c r="J77" s="6"/>
      <c r="K77" s="10"/>
      <c r="L77" s="10"/>
      <c r="M77" s="10"/>
      <c r="N77" s="10"/>
      <c r="O77" s="10"/>
      <c r="P77" s="10"/>
      <c r="Q77" s="10"/>
      <c r="R77" s="10"/>
      <c r="S77" s="15"/>
    </row>
    <row r="78" spans="2:19" x14ac:dyDescent="0.25">
      <c r="B78" s="5"/>
      <c r="C78" s="6"/>
      <c r="D78" s="58"/>
      <c r="E78" s="58"/>
      <c r="F78" s="58"/>
      <c r="G78" s="58"/>
      <c r="H78" s="6"/>
      <c r="I78" s="6"/>
      <c r="J78" s="6"/>
      <c r="K78" s="10"/>
      <c r="L78" s="10"/>
      <c r="M78" s="10"/>
      <c r="N78" s="10"/>
      <c r="O78" s="10"/>
      <c r="P78" s="10"/>
      <c r="Q78" s="10"/>
      <c r="R78" s="10"/>
      <c r="S78" s="15"/>
    </row>
    <row r="79" spans="2:19" x14ac:dyDescent="0.25">
      <c r="B79" s="5"/>
      <c r="C79" s="6"/>
      <c r="D79" s="58"/>
      <c r="E79" s="58"/>
      <c r="F79" s="58"/>
      <c r="G79" s="58"/>
      <c r="H79" s="6"/>
      <c r="I79" s="6"/>
      <c r="J79" s="6"/>
      <c r="K79" s="10"/>
      <c r="L79" s="10"/>
      <c r="M79" s="10"/>
      <c r="N79" s="10"/>
      <c r="O79" s="10"/>
      <c r="P79" s="10"/>
      <c r="Q79" s="10"/>
      <c r="R79" s="10"/>
      <c r="S79" s="15"/>
    </row>
    <row r="80" spans="2:19" x14ac:dyDescent="0.25">
      <c r="B80" s="72"/>
      <c r="C80" s="73"/>
      <c r="D80" s="73"/>
      <c r="E80" s="73"/>
      <c r="F80" s="73"/>
      <c r="G80" s="73"/>
      <c r="H80" s="73"/>
      <c r="I80" s="73"/>
      <c r="J80" s="73"/>
      <c r="K80" s="74"/>
      <c r="L80" s="74"/>
      <c r="M80" s="74"/>
      <c r="N80" s="74"/>
      <c r="O80" s="74"/>
      <c r="P80" s="74"/>
      <c r="Q80" s="74"/>
      <c r="R80" s="74"/>
      <c r="S80" s="75"/>
    </row>
  </sheetData>
  <sheetProtection algorithmName="SHA-512" hashValue="8CiYCjO0tVzVV6cgNLC3AfF88oTWDUj4LGqnSoY2a0oeHcn2J1aeUpc4zuKSZhnaaOmrKnbpC5dyO030QO8QUA==" saltValue="LbrjlrXHzksOA17Vam4Heg==" spinCount="100000" sheet="1" objects="1" scenarios="1"/>
  <mergeCells count="36">
    <mergeCell ref="C70:E70"/>
    <mergeCell ref="N70:O70"/>
    <mergeCell ref="K72:Q72"/>
    <mergeCell ref="J46:O46"/>
    <mergeCell ref="N64:R64"/>
    <mergeCell ref="N65:R65"/>
    <mergeCell ref="K66:L66"/>
    <mergeCell ref="R67:S67"/>
    <mergeCell ref="C68:E68"/>
    <mergeCell ref="E57:G57"/>
    <mergeCell ref="E58:F58"/>
    <mergeCell ref="E60:G60"/>
    <mergeCell ref="E63:G63"/>
    <mergeCell ref="L64:M64"/>
    <mergeCell ref="D50:F50"/>
    <mergeCell ref="J50:L50"/>
    <mergeCell ref="D51:F51"/>
    <mergeCell ref="J43:O43"/>
    <mergeCell ref="J45:L45"/>
    <mergeCell ref="O45:Q45"/>
    <mergeCell ref="M50:O50"/>
    <mergeCell ref="G41:I41"/>
    <mergeCell ref="D49:G49"/>
    <mergeCell ref="N23:R23"/>
    <mergeCell ref="N24:R24"/>
    <mergeCell ref="N25:R25"/>
    <mergeCell ref="N26:R26"/>
    <mergeCell ref="D37:E37"/>
    <mergeCell ref="E13:H13"/>
    <mergeCell ref="J13:K13"/>
    <mergeCell ref="O13:P13"/>
    <mergeCell ref="E8:K8"/>
    <mergeCell ref="E9:K9"/>
    <mergeCell ref="E12:H12"/>
    <mergeCell ref="J12:K12"/>
    <mergeCell ref="M12:P12"/>
  </mergeCells>
  <dataValidations count="2">
    <dataValidation type="list" allowBlank="1" showInputMessage="1" showErrorMessage="1" sqref="G41:I41">
      <formula1>$U$32:$U$33</formula1>
    </dataValidation>
    <dataValidation type="list" allowBlank="1" showInputMessage="1" showErrorMessage="1" sqref="J46:O46">
      <formula1>$AM$1:$AM$6</formula1>
    </dataValidation>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2"/>
  <sheetViews>
    <sheetView workbookViewId="0">
      <selection activeCell="J46" sqref="J46"/>
    </sheetView>
  </sheetViews>
  <sheetFormatPr defaultRowHeight="12.75" x14ac:dyDescent="0.2"/>
  <cols>
    <col min="1" max="2" width="8.85546875" style="226" bestFit="1" customWidth="1"/>
    <col min="3" max="3" width="3.85546875" style="226" bestFit="1" customWidth="1"/>
    <col min="4" max="4" width="5.28515625" style="226" bestFit="1" customWidth="1"/>
    <col min="5" max="6" width="3.85546875" style="226" bestFit="1" customWidth="1"/>
    <col min="7" max="10" width="1.7109375" style="226" bestFit="1" customWidth="1"/>
    <col min="11" max="12" width="8.140625" style="226" bestFit="1" customWidth="1"/>
    <col min="13" max="14" width="8.85546875" style="226" bestFit="1" customWidth="1"/>
    <col min="15" max="15" width="1.7109375" style="226" bestFit="1" customWidth="1"/>
    <col min="16" max="17" width="8.140625" style="226" bestFit="1" customWidth="1"/>
    <col min="18" max="18" width="8.85546875" style="226" bestFit="1" customWidth="1"/>
    <col min="19" max="27" width="4.7109375" style="226" customWidth="1"/>
    <col min="28" max="16384" width="9.140625" style="226"/>
  </cols>
  <sheetData>
    <row r="1" spans="1:38" x14ac:dyDescent="0.2">
      <c r="A1" s="209">
        <f>IF('6399 S'!G5&lt;(2*'6399 S'!G6),IF((0.4*'6399 S'!G7)&gt;('6399 S'!G7-(0.8*'6399 S'!G6)),(0.4*'6399 S'!G7),('6399 S'!G7-(0.8*'6399 S'!G6))),IF('6399 S'!G5&gt;(6*'6399 S'!G6),'6399 S'!G7,0))</f>
        <v>0</v>
      </c>
      <c r="B1" s="210">
        <f>IF((A1&gt;0),0,IF((0.4*'6399 S'!G7)&gt;('6399 S'!G7-(1.2*'6399 S'!G6)+(0.2*'6399 S'!G5)),(0.4*'6399 S'!G7),('6399 S'!G7-(1.2*'6399 S'!G6)+(0.2*'6399 S'!G5))))</f>
        <v>0</v>
      </c>
      <c r="C1" s="210" t="s">
        <v>185</v>
      </c>
      <c r="D1" s="211"/>
      <c r="E1" s="211"/>
      <c r="F1" s="211"/>
      <c r="G1" s="211"/>
      <c r="H1" s="211"/>
      <c r="I1" s="211"/>
      <c r="J1" s="211"/>
      <c r="K1" s="211"/>
      <c r="L1" s="211"/>
      <c r="M1" s="211"/>
      <c r="N1" s="211"/>
      <c r="O1" s="211"/>
      <c r="P1" s="211"/>
      <c r="Q1" s="211"/>
      <c r="R1" s="211"/>
      <c r="S1" s="211"/>
      <c r="T1" s="211"/>
      <c r="U1" s="176"/>
      <c r="V1" s="176"/>
      <c r="W1" s="176"/>
      <c r="X1" s="176"/>
      <c r="Y1" s="176"/>
      <c r="Z1" s="176"/>
      <c r="AA1" s="176"/>
      <c r="AB1" s="176"/>
      <c r="AC1" s="176"/>
      <c r="AD1" s="211"/>
      <c r="AE1" s="211"/>
      <c r="AF1" s="211"/>
      <c r="AG1" s="211"/>
      <c r="AH1" s="176"/>
      <c r="AI1" s="176"/>
      <c r="AJ1" s="176"/>
      <c r="AK1" s="176"/>
      <c r="AL1" s="176"/>
    </row>
    <row r="2" spans="1:38" x14ac:dyDescent="0.2">
      <c r="A2" s="210">
        <f>IF('6399 S'!G13=0,0.78,IF('6399 S'!G13=30,0.73,IF('6399 S'!G13=60,0.73,IF('6399 S'!G13=90,0.74,IF('6399 S'!G13=120,0.73,IF('6399 S'!G13=150,0.8,IF('6399 S'!G13=180,0.85,0)))))))</f>
        <v>0</v>
      </c>
      <c r="B2" s="210">
        <f>IF('6399 S'!G13=210,0.93,IF('6399 S'!G13=240,1,IF('6399 S'!G13=270,0.99,IF('6399 S'!G13=300,0.91,IF('6399 S'!G13=330,0.82,IF('6399 S'!G13=360,0.78,0))))))</f>
        <v>0.99</v>
      </c>
      <c r="C2" s="210" t="s">
        <v>186</v>
      </c>
      <c r="D2" s="211"/>
      <c r="E2" s="211"/>
      <c r="F2" s="211"/>
      <c r="G2" s="211"/>
      <c r="H2" s="211"/>
      <c r="I2" s="211"/>
      <c r="J2" s="211"/>
      <c r="K2" s="211"/>
      <c r="L2" s="211"/>
      <c r="M2" s="211"/>
      <c r="N2" s="211"/>
      <c r="O2" s="211"/>
      <c r="P2" s="211"/>
      <c r="Q2" s="211"/>
      <c r="R2" s="211"/>
      <c r="S2" s="211"/>
      <c r="T2" s="211"/>
      <c r="U2" s="176"/>
      <c r="V2" s="176"/>
      <c r="W2" s="176"/>
      <c r="X2" s="176"/>
      <c r="Y2" s="176"/>
      <c r="Z2" s="176"/>
      <c r="AA2" s="176"/>
      <c r="AB2" s="176"/>
      <c r="AC2" s="176"/>
      <c r="AD2" s="211"/>
      <c r="AE2" s="211"/>
      <c r="AF2" s="211"/>
      <c r="AG2" s="211"/>
      <c r="AH2" s="176"/>
      <c r="AI2" s="176"/>
      <c r="AJ2" s="176"/>
      <c r="AK2" s="176"/>
      <c r="AL2" s="176"/>
    </row>
    <row r="3" spans="1:38" x14ac:dyDescent="0.2">
      <c r="A3" s="210">
        <f>((5-LN((-1)*LN(1-(1/'6399 S'!G16)))))</f>
        <v>8.9019386579358333</v>
      </c>
      <c r="B3" s="210">
        <f>(5-LN(((-1)*(LN((0.98))))))</f>
        <v>8.9019386579358333</v>
      </c>
      <c r="C3" s="210" t="s">
        <v>187</v>
      </c>
      <c r="D3" s="211"/>
      <c r="E3" s="211"/>
      <c r="F3" s="211"/>
      <c r="G3" s="211"/>
      <c r="H3" s="211"/>
      <c r="I3" s="211"/>
      <c r="J3" s="211"/>
      <c r="K3" s="211"/>
      <c r="L3" s="211"/>
      <c r="M3" s="211"/>
      <c r="N3" s="211"/>
      <c r="O3" s="211"/>
      <c r="P3" s="211"/>
      <c r="Q3" s="211"/>
      <c r="R3" s="211"/>
      <c r="S3" s="211"/>
      <c r="T3" s="211"/>
      <c r="U3" s="176"/>
      <c r="V3" s="176"/>
      <c r="W3" s="176"/>
      <c r="X3" s="176"/>
      <c r="Y3" s="176"/>
      <c r="Z3" s="176"/>
      <c r="AA3" s="176"/>
      <c r="AB3" s="176"/>
      <c r="AC3" s="176"/>
      <c r="AD3" s="211"/>
      <c r="AE3" s="211"/>
      <c r="AF3" s="211"/>
      <c r="AG3" s="211"/>
      <c r="AH3" s="176"/>
      <c r="AI3" s="176"/>
      <c r="AJ3" s="176"/>
      <c r="AK3" s="176"/>
      <c r="AL3" s="176"/>
    </row>
    <row r="4" spans="1:38" x14ac:dyDescent="0.2">
      <c r="A4" s="211"/>
      <c r="B4" s="211"/>
      <c r="C4" s="211"/>
      <c r="D4" s="211"/>
      <c r="E4" s="211"/>
      <c r="F4" s="211"/>
      <c r="G4" s="211"/>
      <c r="H4" s="211"/>
      <c r="I4" s="211"/>
      <c r="J4" s="211"/>
      <c r="K4" s="211"/>
      <c r="L4" s="211"/>
      <c r="M4" s="211"/>
      <c r="N4" s="211"/>
      <c r="O4" s="211"/>
      <c r="P4" s="211"/>
      <c r="Q4" s="211"/>
      <c r="R4" s="211"/>
      <c r="S4" s="211"/>
      <c r="T4" s="211"/>
      <c r="U4" s="176"/>
      <c r="V4" s="176"/>
      <c r="W4" s="176"/>
      <c r="X4" s="176"/>
      <c r="Y4" s="176"/>
      <c r="Z4" s="176"/>
      <c r="AA4" s="176"/>
      <c r="AB4" s="176"/>
      <c r="AC4" s="176"/>
      <c r="AD4" s="211"/>
      <c r="AE4" s="211"/>
      <c r="AF4" s="211"/>
      <c r="AG4" s="211"/>
      <c r="AH4" s="176"/>
      <c r="AI4" s="176"/>
      <c r="AJ4" s="176"/>
      <c r="AK4" s="176"/>
      <c r="AL4" s="176"/>
    </row>
    <row r="5" spans="1:38" x14ac:dyDescent="0.2">
      <c r="A5" s="211"/>
      <c r="B5" s="211"/>
      <c r="C5" s="212">
        <v>1.9999899999999999</v>
      </c>
      <c r="D5" s="212">
        <v>9.9999900000000004</v>
      </c>
      <c r="E5" s="212">
        <v>100.00001</v>
      </c>
      <c r="F5" s="211"/>
      <c r="G5" s="211"/>
      <c r="H5" s="211"/>
      <c r="I5" s="211"/>
      <c r="J5" s="211"/>
      <c r="K5" s="211"/>
      <c r="L5" s="211"/>
      <c r="M5" s="211"/>
      <c r="N5" s="211"/>
      <c r="O5" s="211"/>
      <c r="P5" s="211"/>
      <c r="Q5" s="211"/>
      <c r="R5" s="211"/>
      <c r="S5" s="211"/>
      <c r="T5" s="211"/>
      <c r="U5" s="176"/>
      <c r="V5" s="176"/>
      <c r="W5" s="176"/>
      <c r="X5" s="176"/>
      <c r="Y5" s="176"/>
      <c r="Z5" s="176"/>
      <c r="AA5" s="176"/>
      <c r="AB5" s="176"/>
      <c r="AC5" s="176"/>
      <c r="AD5" s="211"/>
      <c r="AE5" s="211"/>
      <c r="AF5" s="211"/>
      <c r="AG5" s="211"/>
      <c r="AH5" s="176"/>
      <c r="AI5" s="176"/>
      <c r="AJ5" s="176"/>
      <c r="AK5" s="176"/>
      <c r="AL5" s="176"/>
    </row>
    <row r="6" spans="1:38" ht="13.5" thickBot="1" x14ac:dyDescent="0.25">
      <c r="A6" s="211" t="s">
        <v>185</v>
      </c>
      <c r="B6" s="211"/>
      <c r="C6" s="213">
        <f>D5-C5</f>
        <v>8</v>
      </c>
      <c r="D6" s="213">
        <f>E5-D5</f>
        <v>90.000020000000006</v>
      </c>
      <c r="E6" s="211"/>
      <c r="F6" s="211"/>
      <c r="G6" s="211"/>
      <c r="H6" s="211"/>
      <c r="I6" s="211"/>
      <c r="J6" s="211"/>
      <c r="K6" s="211"/>
      <c r="L6" s="211"/>
      <c r="M6" s="211"/>
      <c r="N6" s="211"/>
      <c r="O6" s="211"/>
      <c r="P6" s="211"/>
      <c r="Q6" s="211"/>
      <c r="R6" s="211"/>
      <c r="S6" s="211"/>
      <c r="T6" s="211"/>
      <c r="U6" s="176"/>
      <c r="V6" s="176"/>
      <c r="W6" s="176"/>
      <c r="X6" s="176"/>
      <c r="Y6" s="176"/>
      <c r="Z6" s="176"/>
      <c r="AA6" s="176"/>
      <c r="AB6" s="176"/>
      <c r="AC6" s="176"/>
      <c r="AD6" s="211"/>
      <c r="AE6" s="211"/>
      <c r="AF6" s="211"/>
      <c r="AG6" s="211"/>
      <c r="AH6" s="176"/>
      <c r="AI6" s="176"/>
      <c r="AJ6" s="176"/>
      <c r="AK6" s="176"/>
      <c r="AL6" s="176"/>
    </row>
    <row r="7" spans="1:38" x14ac:dyDescent="0.2">
      <c r="A7" s="212">
        <v>1.9999899999999999</v>
      </c>
      <c r="B7" s="212">
        <f t="shared" ref="B7:B13" si="0">A8-A7</f>
        <v>3.0000000000000004</v>
      </c>
      <c r="C7" s="210">
        <v>1.18</v>
      </c>
      <c r="D7" s="210">
        <v>1.1499999999999999</v>
      </c>
      <c r="E7" s="210">
        <v>1.07</v>
      </c>
      <c r="F7" s="214">
        <f>IF(AND(A7&lt;'6399 S'!$G$8,'6399 S'!$G$8&lt;A8,C5&lt;'6399 S'!$G$21,'6399 S'!$G$21&lt;D5),1,0)</f>
        <v>0</v>
      </c>
      <c r="G7" s="214">
        <f>IF(AND(A7&lt;'6399 S'!$G$8,'6399 S'!$G$8&lt;A8,D5&lt;'6399 S'!$G$21,'6399 S'!$G$21&lt;E5),1,0)</f>
        <v>0</v>
      </c>
      <c r="H7" s="215">
        <f>IF(F7=1,((((C8-C7)/B7)*('6399 S'!G$8-A7))+C7),0)</f>
        <v>0</v>
      </c>
      <c r="I7" s="216">
        <f>IF(F7=1,((((D8-D7)/B7)*('6399 S'!G$8-A7))+D7),0)</f>
        <v>0</v>
      </c>
      <c r="J7" s="217">
        <f>IF(F7=1,((((H7-I7)/C$6)*('6399 S'!G$21-C$5))*(-1)+H7),0)</f>
        <v>0</v>
      </c>
      <c r="K7" s="215">
        <f>IF(G7=1,((((D8-D7)/B7)*('6399 S'!G$8-A7))+D7),0)</f>
        <v>0</v>
      </c>
      <c r="L7" s="216">
        <f>IF(G7=1,((((E8-E7)/B7)*('6399 S'!G$8-A7))+E7),0)</f>
        <v>0</v>
      </c>
      <c r="M7" s="217">
        <f>IF(G7=1,((((K7-L7)/D$6)*('6399 S'!G$21-D$5))*(-1)+K7),0)</f>
        <v>0</v>
      </c>
      <c r="N7" s="211"/>
      <c r="O7" s="211"/>
      <c r="P7" s="211"/>
      <c r="Q7" s="211"/>
      <c r="R7" s="211"/>
      <c r="S7" s="211"/>
      <c r="T7" s="211"/>
      <c r="U7" s="176"/>
      <c r="V7" s="176"/>
      <c r="W7" s="176"/>
      <c r="X7" s="176"/>
      <c r="Y7" s="176"/>
      <c r="Z7" s="176"/>
      <c r="AA7" s="176"/>
      <c r="AB7" s="176"/>
      <c r="AC7" s="176"/>
      <c r="AD7" s="211"/>
      <c r="AE7" s="211"/>
      <c r="AF7" s="211"/>
      <c r="AG7" s="211"/>
      <c r="AH7" s="176"/>
      <c r="AI7" s="176"/>
      <c r="AJ7" s="176"/>
      <c r="AK7" s="176"/>
      <c r="AL7" s="176"/>
    </row>
    <row r="8" spans="1:38" x14ac:dyDescent="0.2">
      <c r="A8" s="212">
        <v>4.9999900000000004</v>
      </c>
      <c r="B8" s="212">
        <f t="shared" si="0"/>
        <v>5</v>
      </c>
      <c r="C8" s="210">
        <v>1.5</v>
      </c>
      <c r="D8" s="210">
        <v>1.45</v>
      </c>
      <c r="E8" s="210">
        <v>1.36</v>
      </c>
      <c r="F8" s="214">
        <f>IF(AND(A8&lt;'6399 S'!$G$8,'6399 S'!$G$8&lt;A9,C5&lt;'6399 S'!$G$21,'6399 S'!$G$21&lt;D5),1,0)</f>
        <v>0</v>
      </c>
      <c r="G8" s="214">
        <f>IF(AND(A8&lt;'6399 S'!$G$8,'6399 S'!$G$8&lt;A9,D5&lt;'6399 S'!$G$21,'6399 S'!$G$21&lt;E5),1,0)</f>
        <v>0</v>
      </c>
      <c r="H8" s="218">
        <f>IF(F8=1,((((C9-C8)/B8)*('6399 S'!G$8-A8))+C8),0)</f>
        <v>0</v>
      </c>
      <c r="I8" s="214">
        <f>IF(F8=1,((((D9-D8)/B8)*('6399 S'!G$8-A8))+D8),0)</f>
        <v>0</v>
      </c>
      <c r="J8" s="219">
        <f>IF(F8=1,((((H8-I8)/C$6)*('6399 S'!G$21-C$5))*(-1)+H8),0)</f>
        <v>0</v>
      </c>
      <c r="K8" s="218">
        <f>IF(G8=1,((((D9-D8)/B8)*('6399 S'!G$8-A8))+D8),0)</f>
        <v>0</v>
      </c>
      <c r="L8" s="214">
        <f>IF(G8=1,((((E9-E8)/B8)*('6399 S'!G$8-A8))+E8),0)</f>
        <v>0</v>
      </c>
      <c r="M8" s="219">
        <f>IF(G8=1,((((K8-L8)/D$6)*('6399 S'!G$21-D$5))*(-1)+K8),0)</f>
        <v>0</v>
      </c>
      <c r="N8" s="211"/>
      <c r="O8" s="211"/>
      <c r="P8" s="211"/>
      <c r="Q8" s="211"/>
      <c r="R8" s="211"/>
      <c r="S8" s="211"/>
      <c r="T8" s="211"/>
      <c r="U8" s="176"/>
      <c r="V8" s="176"/>
      <c r="W8" s="176"/>
      <c r="X8" s="176"/>
      <c r="Y8" s="176"/>
      <c r="Z8" s="176"/>
      <c r="AA8" s="176"/>
      <c r="AB8" s="176"/>
      <c r="AC8" s="176"/>
      <c r="AD8" s="211"/>
      <c r="AE8" s="211"/>
      <c r="AF8" s="211"/>
      <c r="AG8" s="211"/>
      <c r="AH8" s="176"/>
      <c r="AI8" s="176"/>
      <c r="AJ8" s="176"/>
      <c r="AK8" s="176"/>
      <c r="AL8" s="176"/>
    </row>
    <row r="9" spans="1:38" x14ac:dyDescent="0.2">
      <c r="A9" s="212">
        <v>9.9999900000000004</v>
      </c>
      <c r="B9" s="212">
        <f t="shared" si="0"/>
        <v>5</v>
      </c>
      <c r="C9" s="210">
        <v>1.73</v>
      </c>
      <c r="D9" s="210">
        <v>1.69</v>
      </c>
      <c r="E9" s="210">
        <v>1.58</v>
      </c>
      <c r="F9" s="214">
        <f>IF(AND(A9&lt;'6399 S'!$G$8,'6399 S'!$G$8&lt;A10,C5&lt;'6399 S'!$G$21,'6399 S'!$G$21&lt;D5),1,0)</f>
        <v>0</v>
      </c>
      <c r="G9" s="214">
        <f>IF(AND(A9&lt;'6399 S'!$G$8,'6399 S'!$G$8&lt;A10,D5&lt;'6399 S'!$G$21,'6399 S'!$G$21&lt;E5),1,0)</f>
        <v>0</v>
      </c>
      <c r="H9" s="218">
        <f>IF(F9=1,((((C10-C9)/B9)*('6399 S'!G$8-A9))+C9),0)</f>
        <v>0</v>
      </c>
      <c r="I9" s="214">
        <f>IF(F9=1,((((D10-D9)/B9)*('6399 S'!G$8-A9))+D9),0)</f>
        <v>0</v>
      </c>
      <c r="J9" s="219">
        <f>IF(F9=1,((((H9-I9)/C$6)*('6399 S'!G$21-C$5))*(-1)+H9),0)</f>
        <v>0</v>
      </c>
      <c r="K9" s="218">
        <f>IF(G9=1,((((D10-D9)/B9)*('6399 S'!G$8-A9))+D9),0)</f>
        <v>0</v>
      </c>
      <c r="L9" s="214">
        <f>IF(G9=1,((((E10-E9)/B9)*('6399 S'!G$8-A9))+E9),0)</f>
        <v>0</v>
      </c>
      <c r="M9" s="219">
        <f>IF(G9=1,((((K9-L9)/D$6)*('6399 S'!G$21-D$5))*(-1)+K9),0)</f>
        <v>0</v>
      </c>
      <c r="N9" s="211"/>
      <c r="O9" s="211"/>
      <c r="P9" s="211"/>
      <c r="Q9" s="211"/>
      <c r="R9" s="211"/>
      <c r="S9" s="211"/>
      <c r="T9" s="211"/>
      <c r="U9" s="176"/>
      <c r="V9" s="176"/>
      <c r="W9" s="176"/>
      <c r="X9" s="176"/>
      <c r="Y9" s="176"/>
      <c r="Z9" s="176"/>
      <c r="AA9" s="176"/>
      <c r="AB9" s="176"/>
      <c r="AC9" s="176"/>
      <c r="AD9" s="211"/>
      <c r="AE9" s="211"/>
      <c r="AF9" s="211"/>
      <c r="AG9" s="211"/>
      <c r="AH9" s="176"/>
      <c r="AI9" s="176"/>
      <c r="AJ9" s="176"/>
      <c r="AK9" s="176"/>
      <c r="AL9" s="176"/>
    </row>
    <row r="10" spans="1:38" x14ac:dyDescent="0.2">
      <c r="A10" s="212">
        <v>14.99999</v>
      </c>
      <c r="B10" s="212">
        <f t="shared" si="0"/>
        <v>5</v>
      </c>
      <c r="C10" s="210">
        <v>1.85</v>
      </c>
      <c r="D10" s="210">
        <v>1.82</v>
      </c>
      <c r="E10" s="210">
        <v>1.71</v>
      </c>
      <c r="F10" s="214">
        <f>IF(AND(A10&lt;'6399 S'!$G$8,'6399 S'!$G$8&lt;A11,C5&lt;'6399 S'!$G$21,'6399 S'!$G$21&lt;D5),1,0)</f>
        <v>0</v>
      </c>
      <c r="G10" s="214">
        <f>IF(AND(A10&lt;'6399 S'!$G$8,'6399 S'!$G$8&lt;A11,D5&lt;'6399 S'!$G$21,'6399 S'!$G$21&lt;E5),1,0)</f>
        <v>0</v>
      </c>
      <c r="H10" s="218">
        <f>IF(F10=1,((((C11-C10)/B10)*('6399 S'!G$8-A10))+C10),0)</f>
        <v>0</v>
      </c>
      <c r="I10" s="214">
        <f>IF(F10=1,((((D11-D10)/B10)*('6399 S'!G$8-A10))+D10),0)</f>
        <v>0</v>
      </c>
      <c r="J10" s="219">
        <f>IF(F10=1,((((H10-I10)/C$6)*('6399 S'!G$21-C$5))*(-1)+H10),0)</f>
        <v>0</v>
      </c>
      <c r="K10" s="218">
        <f>IF(G10=1,((((D11-D10)/B10)*('6399 S'!G$8-A10))+D10),0)</f>
        <v>0</v>
      </c>
      <c r="L10" s="214">
        <f>IF(G10=1,((((E11-E10)/B10)*('6399 S'!G$8-A10))+E10),0)</f>
        <v>0</v>
      </c>
      <c r="M10" s="219">
        <f>IF(G10=1,((((K10-L10)/D$6)*('6399 S'!G$21-D$5))*(-1)+K10),0)</f>
        <v>0</v>
      </c>
      <c r="N10" s="211"/>
      <c r="O10" s="211"/>
      <c r="P10" s="211"/>
      <c r="Q10" s="211"/>
      <c r="R10" s="211"/>
      <c r="S10" s="211"/>
      <c r="T10" s="211"/>
      <c r="U10" s="176"/>
      <c r="V10" s="176"/>
      <c r="W10" s="176"/>
      <c r="X10" s="176"/>
      <c r="Y10" s="176"/>
      <c r="Z10" s="176"/>
      <c r="AA10" s="176"/>
      <c r="AB10" s="176"/>
      <c r="AC10" s="176"/>
      <c r="AD10" s="211"/>
      <c r="AE10" s="211"/>
      <c r="AF10" s="211"/>
      <c r="AG10" s="211"/>
      <c r="AH10" s="176"/>
      <c r="AI10" s="176"/>
      <c r="AJ10" s="176"/>
      <c r="AK10" s="176"/>
      <c r="AL10" s="176"/>
    </row>
    <row r="11" spans="1:38" x14ac:dyDescent="0.2">
      <c r="A11" s="212">
        <v>19.99999</v>
      </c>
      <c r="B11" s="212">
        <f t="shared" si="0"/>
        <v>10</v>
      </c>
      <c r="C11" s="210">
        <v>1.9</v>
      </c>
      <c r="D11" s="210">
        <v>1.89</v>
      </c>
      <c r="E11" s="210">
        <v>1.77</v>
      </c>
      <c r="F11" s="214">
        <f>IF(AND(A11&lt;'6399 S'!$G$8,'6399 S'!$G$8&lt;A12,C5&lt;'6399 S'!$G$21,'6399 S'!$G$21&lt;D5),1,0)</f>
        <v>0</v>
      </c>
      <c r="G11" s="214">
        <f>IF(AND(A11&lt;'6399 S'!$G$8,'6399 S'!$G$8&lt;A12,D5&lt;'6399 S'!$G$21,'6399 S'!$G$21&lt;E5),1,0)</f>
        <v>0</v>
      </c>
      <c r="H11" s="218">
        <f>IF(F11=1,((((C12-C11)/B11)*('6399 S'!G$8-A11))+C11),0)</f>
        <v>0</v>
      </c>
      <c r="I11" s="214">
        <f>IF(F11=1,((((D12-D11)/B11)*('6399 S'!G$8-A11))+D11),0)</f>
        <v>0</v>
      </c>
      <c r="J11" s="219">
        <f>IF(F11=1,((((H11-I11)/C$6)*('6399 S'!G$21-C$5))*(-1)+H11),0)</f>
        <v>0</v>
      </c>
      <c r="K11" s="218">
        <f>IF(G11=1,((((D12-D11)/B11)*('6399 S'!G$8-A11))+D11),0)</f>
        <v>0</v>
      </c>
      <c r="L11" s="214">
        <f>IF(G11=1,((((E12-E11)/B11)*('6399 S'!G$8-A11))+E11),0)</f>
        <v>0</v>
      </c>
      <c r="M11" s="219">
        <f>IF(G11=1,((((K11-L11)/D$6)*('6399 S'!G$21-D$5))*(-1)+K11),0)</f>
        <v>0</v>
      </c>
      <c r="N11" s="211"/>
      <c r="O11" s="211"/>
      <c r="P11" s="211"/>
      <c r="Q11" s="211"/>
      <c r="R11" s="211"/>
      <c r="S11" s="211"/>
      <c r="T11" s="211"/>
      <c r="U11" s="176"/>
      <c r="V11" s="176"/>
      <c r="W11" s="176"/>
      <c r="X11" s="176"/>
      <c r="Y11" s="176"/>
      <c r="Z11" s="176"/>
      <c r="AA11" s="176"/>
      <c r="AB11" s="176"/>
      <c r="AC11" s="176"/>
      <c r="AD11" s="211"/>
      <c r="AE11" s="211"/>
      <c r="AF11" s="211"/>
      <c r="AG11" s="211"/>
      <c r="AH11" s="176"/>
      <c r="AI11" s="176"/>
      <c r="AJ11" s="176"/>
      <c r="AK11" s="176"/>
      <c r="AL11" s="176"/>
    </row>
    <row r="12" spans="1:38" x14ac:dyDescent="0.2">
      <c r="A12" s="212">
        <v>29.99999</v>
      </c>
      <c r="B12" s="212">
        <f t="shared" si="0"/>
        <v>19.999999999999996</v>
      </c>
      <c r="C12" s="210">
        <v>1.96</v>
      </c>
      <c r="D12" s="210">
        <v>1.96</v>
      </c>
      <c r="E12" s="210">
        <v>1.85</v>
      </c>
      <c r="F12" s="214">
        <f>IF(AND(A12&lt;'6399 S'!$G$8,'6399 S'!$G$8&lt;A13,C5&lt;'6399 S'!$G$21,'6399 S'!$G$21&lt;D5),1,0)</f>
        <v>0</v>
      </c>
      <c r="G12" s="214">
        <f>IF(AND(A12&lt;'6399 S'!$G$8,'6399 S'!$G$8&lt;A13,D5&lt;'6399 S'!$G$21,'6399 S'!$G$21&lt;E5),1,0)</f>
        <v>0</v>
      </c>
      <c r="H12" s="218">
        <f>IF(F12=1,((((C13-C12)/B12)*('6399 S'!G$8-A12))+C12),0)</f>
        <v>0</v>
      </c>
      <c r="I12" s="214">
        <f>IF(F12=1,((((D13-D12)/B12)*('6399 S'!G$8-A12))+D12),0)</f>
        <v>0</v>
      </c>
      <c r="J12" s="219">
        <f>IF(F12=1,((((H12-I12)/C$6)*('6399 S'!G$21-C$5))*(-1)+H12),0)</f>
        <v>0</v>
      </c>
      <c r="K12" s="218">
        <f>IF(G12=1,((((D13-D12)/B12)*('6399 S'!G$8-A12))+D12),0)</f>
        <v>0</v>
      </c>
      <c r="L12" s="214">
        <f>IF(G12=1,((((E13-E12)/B12)*('6399 S'!G$8-A12))+E12),0)</f>
        <v>0</v>
      </c>
      <c r="M12" s="219">
        <f>IF(G12=1,((((K12-L12)/D$6)*('6399 S'!G$21-D$5))*(-1)+K12),0)</f>
        <v>0</v>
      </c>
      <c r="N12" s="211"/>
      <c r="O12" s="211"/>
      <c r="P12" s="211"/>
      <c r="Q12" s="211"/>
      <c r="R12" s="211"/>
      <c r="S12" s="211"/>
      <c r="T12" s="211"/>
      <c r="U12" s="176"/>
      <c r="V12" s="176"/>
      <c r="W12" s="176"/>
      <c r="X12" s="176"/>
      <c r="Y12" s="176"/>
      <c r="Z12" s="176"/>
      <c r="AA12" s="176"/>
      <c r="AB12" s="176"/>
      <c r="AC12" s="176"/>
      <c r="AD12" s="211"/>
      <c r="AE12" s="211"/>
      <c r="AF12" s="211"/>
      <c r="AG12" s="211"/>
      <c r="AH12" s="176"/>
      <c r="AI12" s="176"/>
      <c r="AJ12" s="176"/>
      <c r="AK12" s="176"/>
      <c r="AL12" s="176"/>
    </row>
    <row r="13" spans="1:38" x14ac:dyDescent="0.2">
      <c r="A13" s="212">
        <v>49.999989999999997</v>
      </c>
      <c r="B13" s="212">
        <f t="shared" si="0"/>
        <v>50.000020000000006</v>
      </c>
      <c r="C13" s="210">
        <v>2.04</v>
      </c>
      <c r="D13" s="210">
        <v>2.04</v>
      </c>
      <c r="E13" s="210">
        <v>1.95</v>
      </c>
      <c r="F13" s="214">
        <f>IF(AND(A13&lt;'6399 S'!$G$8,'6399 S'!$G$8&lt;A14,C5&lt;'6399 S'!$G$21,'6399 S'!$G$21&lt;D5),1,0)</f>
        <v>0</v>
      </c>
      <c r="G13" s="214">
        <f>IF(AND(A13&lt;'6399 S'!$G$8,'6399 S'!$G$8&lt;A14,D5&lt;'6399 S'!$G$21,'6399 S'!$G$21&lt;E5),1,0)</f>
        <v>0</v>
      </c>
      <c r="H13" s="218">
        <f>IF(F13=1,((((C14-C13)/B13)*('6399 S'!G$8-A13))+C13),0)</f>
        <v>0</v>
      </c>
      <c r="I13" s="214">
        <f>IF(F13=1,((((D14-D13)/B13)*('6399 S'!G$8-A13))+D13),0)</f>
        <v>0</v>
      </c>
      <c r="J13" s="219">
        <f>IF(F13=1,((((H13-I13)/C$6)*('6399 S'!G$21-C$5))*(-1)+H13),0)</f>
        <v>0</v>
      </c>
      <c r="K13" s="218">
        <f>IF(G13=1,((((D14-D13)/B13)*('6399 S'!G$8-A13))+D13),0)</f>
        <v>0</v>
      </c>
      <c r="L13" s="214">
        <f>IF(G13=1,((((E14-E13)/B13)*('6399 S'!G$8-A13))+E13),0)</f>
        <v>0</v>
      </c>
      <c r="M13" s="219">
        <f>IF(G13=1,((((K13-L13)/D$6)*('6399 S'!G$21-D$5))*(-1)+K13),0)</f>
        <v>0</v>
      </c>
      <c r="N13" s="211"/>
      <c r="O13" s="211"/>
      <c r="P13" s="211"/>
      <c r="Q13" s="211"/>
      <c r="R13" s="211"/>
      <c r="S13" s="220"/>
      <c r="T13" s="211"/>
      <c r="U13" s="176"/>
      <c r="V13" s="176"/>
      <c r="W13" s="176"/>
      <c r="X13" s="176"/>
      <c r="Y13" s="176"/>
      <c r="Z13" s="176"/>
      <c r="AA13" s="176"/>
      <c r="AB13" s="176"/>
      <c r="AC13" s="176"/>
      <c r="AD13" s="211"/>
      <c r="AE13" s="211"/>
      <c r="AF13" s="211"/>
      <c r="AG13" s="211"/>
      <c r="AH13" s="176"/>
      <c r="AI13" s="176"/>
      <c r="AJ13" s="176"/>
      <c r="AK13" s="176"/>
      <c r="AL13" s="176"/>
    </row>
    <row r="14" spans="1:38" ht="13.5" thickBot="1" x14ac:dyDescent="0.25">
      <c r="A14" s="211">
        <v>100.00001</v>
      </c>
      <c r="B14" s="211"/>
      <c r="C14" s="210">
        <v>2.12</v>
      </c>
      <c r="D14" s="210">
        <v>2.12</v>
      </c>
      <c r="E14" s="210">
        <v>2.0699999999999998</v>
      </c>
      <c r="F14" s="214"/>
      <c r="G14" s="214"/>
      <c r="H14" s="221">
        <f>IF(F14=1,((((C15-C14)/B14)*('6399 S'!G$8-A14))+C14),0)</f>
        <v>0</v>
      </c>
      <c r="I14" s="222">
        <f>IF(F14=1,((((D15-D14)/B14)*('6399 S'!G$8-A14))+D14),0)</f>
        <v>0</v>
      </c>
      <c r="J14" s="223">
        <f>IF(F14=1,((((H14-I14)/C$6)*('6399 S'!G$21-C$5))*(-1)+H14),0)</f>
        <v>0</v>
      </c>
      <c r="K14" s="221">
        <f>IF(G14=1,((((D15-D14)/B14)*('6399 S'!G$8-A14))+D14),0)</f>
        <v>0</v>
      </c>
      <c r="L14" s="222">
        <f>IF(G14=1,((((E15-E14)/B14)*('6399 S'!G$8-A14))+E14),0)</f>
        <v>0</v>
      </c>
      <c r="M14" s="223">
        <f>IF(G14=1,((((K14-L14)/D$6)*('6399 S'!G$21-D$5))*(-1)+K14),0)</f>
        <v>0</v>
      </c>
      <c r="N14" s="211"/>
      <c r="O14" s="211"/>
      <c r="P14" s="211"/>
      <c r="Q14" s="211"/>
      <c r="R14" s="211"/>
      <c r="S14" s="211"/>
      <c r="T14" s="211"/>
      <c r="U14" s="176"/>
      <c r="V14" s="176"/>
      <c r="W14" s="176"/>
      <c r="X14" s="176"/>
      <c r="Y14" s="176"/>
      <c r="Z14" s="176"/>
      <c r="AA14" s="176"/>
      <c r="AB14" s="176"/>
      <c r="AC14" s="176"/>
      <c r="AD14" s="211"/>
      <c r="AE14" s="211"/>
      <c r="AF14" s="211"/>
      <c r="AG14" s="211"/>
      <c r="AH14" s="176"/>
      <c r="AI14" s="176"/>
      <c r="AJ14" s="176"/>
      <c r="AK14" s="176"/>
      <c r="AL14" s="176"/>
    </row>
    <row r="15" spans="1:38" x14ac:dyDescent="0.2">
      <c r="A15" s="211"/>
      <c r="B15" s="211"/>
      <c r="C15" s="211"/>
      <c r="D15" s="211"/>
      <c r="E15" s="211"/>
      <c r="F15" s="211"/>
      <c r="G15" s="211"/>
      <c r="H15" s="211"/>
      <c r="I15" s="211"/>
      <c r="J15" s="224">
        <f>SUM(J7:J14)</f>
        <v>0</v>
      </c>
      <c r="K15" s="211"/>
      <c r="L15" s="211"/>
      <c r="M15" s="224">
        <f>SUM(M7:M14)</f>
        <v>0</v>
      </c>
      <c r="N15" s="211">
        <f>J15+M15</f>
        <v>0</v>
      </c>
      <c r="O15" s="211"/>
      <c r="P15" s="211"/>
      <c r="Q15" s="211"/>
      <c r="R15" s="211"/>
      <c r="S15" s="211"/>
      <c r="T15" s="211"/>
      <c r="U15" s="176"/>
      <c r="V15" s="176"/>
      <c r="W15" s="176"/>
      <c r="X15" s="176"/>
      <c r="Y15" s="176"/>
      <c r="Z15" s="176"/>
      <c r="AA15" s="176"/>
      <c r="AB15" s="176"/>
      <c r="AC15" s="176"/>
      <c r="AD15" s="211"/>
      <c r="AE15" s="211"/>
      <c r="AF15" s="211"/>
      <c r="AG15" s="211"/>
      <c r="AH15" s="176"/>
      <c r="AI15" s="176"/>
      <c r="AJ15" s="176"/>
      <c r="AK15" s="176"/>
      <c r="AL15" s="176"/>
    </row>
    <row r="16" spans="1:38" x14ac:dyDescent="0.2">
      <c r="A16" s="211"/>
      <c r="B16" s="211"/>
      <c r="C16" s="211"/>
      <c r="D16" s="211"/>
      <c r="E16" s="211"/>
      <c r="F16" s="211"/>
      <c r="G16" s="211"/>
      <c r="H16" s="211"/>
      <c r="I16" s="211"/>
      <c r="J16" s="211"/>
      <c r="K16" s="211"/>
      <c r="L16" s="211"/>
      <c r="M16" s="211"/>
      <c r="N16" s="211"/>
      <c r="O16" s="211"/>
      <c r="P16" s="211"/>
      <c r="Q16" s="211"/>
      <c r="R16" s="211"/>
      <c r="S16" s="211"/>
      <c r="T16" s="211"/>
      <c r="U16" s="176"/>
      <c r="V16" s="176"/>
      <c r="W16" s="176"/>
      <c r="X16" s="176"/>
      <c r="Y16" s="176"/>
      <c r="Z16" s="176"/>
      <c r="AA16" s="176"/>
      <c r="AB16" s="176"/>
      <c r="AC16" s="176"/>
      <c r="AD16" s="211"/>
      <c r="AE16" s="211"/>
      <c r="AF16" s="211"/>
      <c r="AG16" s="211"/>
      <c r="AH16" s="176"/>
      <c r="AI16" s="176"/>
      <c r="AJ16" s="176"/>
      <c r="AK16" s="176"/>
      <c r="AL16" s="176"/>
    </row>
    <row r="17" spans="1:38" x14ac:dyDescent="0.2">
      <c r="A17" s="211"/>
      <c r="B17" s="211"/>
      <c r="C17" s="211"/>
      <c r="D17" s="211"/>
      <c r="E17" s="211"/>
      <c r="F17" s="211"/>
      <c r="G17" s="211"/>
      <c r="H17" s="211"/>
      <c r="I17" s="211"/>
      <c r="J17" s="211"/>
      <c r="K17" s="211"/>
      <c r="L17" s="211"/>
      <c r="M17" s="211"/>
      <c r="N17" s="211"/>
      <c r="O17" s="211"/>
      <c r="P17" s="211"/>
      <c r="Q17" s="211"/>
      <c r="R17" s="211"/>
      <c r="S17" s="211"/>
      <c r="T17" s="211"/>
      <c r="U17" s="176"/>
      <c r="V17" s="176"/>
      <c r="W17" s="176"/>
      <c r="X17" s="176"/>
      <c r="Y17" s="176"/>
      <c r="Z17" s="176"/>
      <c r="AA17" s="176"/>
      <c r="AB17" s="176"/>
      <c r="AC17" s="176"/>
      <c r="AD17" s="211"/>
      <c r="AE17" s="211"/>
      <c r="AF17" s="211"/>
      <c r="AG17" s="211"/>
      <c r="AH17" s="176"/>
      <c r="AI17" s="176"/>
      <c r="AJ17" s="176"/>
      <c r="AK17" s="176"/>
      <c r="AL17" s="176"/>
    </row>
    <row r="18" spans="1:38" x14ac:dyDescent="0.2">
      <c r="A18" s="211"/>
      <c r="B18" s="211"/>
      <c r="C18" s="212">
        <v>0</v>
      </c>
      <c r="D18" s="212">
        <v>1.9999899999999999</v>
      </c>
      <c r="E18" s="212">
        <v>9.9999900000000004</v>
      </c>
      <c r="F18" s="212">
        <v>100.00001</v>
      </c>
      <c r="G18" s="211"/>
      <c r="H18" s="211"/>
      <c r="I18" s="211"/>
      <c r="J18" s="211"/>
      <c r="K18" s="211"/>
      <c r="L18" s="211"/>
      <c r="M18" s="211"/>
      <c r="N18" s="211"/>
      <c r="O18" s="211"/>
      <c r="P18" s="211"/>
      <c r="Q18" s="211"/>
      <c r="R18" s="211"/>
      <c r="S18" s="211"/>
      <c r="T18" s="211"/>
      <c r="U18" s="176"/>
      <c r="V18" s="176"/>
      <c r="W18" s="176"/>
      <c r="X18" s="176"/>
      <c r="Y18" s="176"/>
      <c r="Z18" s="176"/>
      <c r="AA18" s="176"/>
      <c r="AB18" s="176"/>
      <c r="AC18" s="176"/>
      <c r="AD18" s="211"/>
      <c r="AE18" s="211"/>
      <c r="AF18" s="211"/>
      <c r="AG18" s="211"/>
      <c r="AH18" s="176"/>
      <c r="AI18" s="176"/>
      <c r="AJ18" s="176"/>
      <c r="AK18" s="176"/>
      <c r="AL18" s="176"/>
    </row>
    <row r="19" spans="1:38" ht="13.5" thickBot="1" x14ac:dyDescent="0.25">
      <c r="A19" s="211" t="s">
        <v>185</v>
      </c>
      <c r="B19" s="211"/>
      <c r="C19" s="213">
        <f>D18-S13</f>
        <v>1.9999899999999999</v>
      </c>
      <c r="D19" s="213">
        <f>E18-D18</f>
        <v>8</v>
      </c>
      <c r="E19" s="213">
        <f>F18-E18</f>
        <v>90.000020000000006</v>
      </c>
      <c r="F19" s="211"/>
      <c r="G19" s="211"/>
      <c r="H19" s="211"/>
      <c r="I19" s="211"/>
      <c r="J19" s="211"/>
      <c r="K19" s="211"/>
      <c r="L19" s="211"/>
      <c r="M19" s="211"/>
      <c r="N19" s="211"/>
      <c r="O19" s="211"/>
      <c r="P19" s="211"/>
      <c r="Q19" s="211"/>
      <c r="R19" s="211"/>
      <c r="S19" s="211"/>
      <c r="T19" s="211"/>
      <c r="U19" s="176"/>
      <c r="V19" s="176"/>
      <c r="W19" s="176"/>
      <c r="X19" s="176"/>
      <c r="Y19" s="176"/>
      <c r="Z19" s="176"/>
      <c r="AA19" s="176"/>
      <c r="AB19" s="176"/>
      <c r="AC19" s="176"/>
      <c r="AD19" s="211"/>
      <c r="AE19" s="211"/>
      <c r="AF19" s="211"/>
      <c r="AG19" s="211"/>
      <c r="AH19" s="176"/>
      <c r="AI19" s="176"/>
      <c r="AJ19" s="176"/>
      <c r="AK19" s="176"/>
      <c r="AL19" s="176"/>
    </row>
    <row r="20" spans="1:38" x14ac:dyDescent="0.2">
      <c r="A20" s="212">
        <v>1.9999899999999999</v>
      </c>
      <c r="B20" s="212">
        <f t="shared" ref="B20:B26" si="1">A21-A20</f>
        <v>3.0000000000000004</v>
      </c>
      <c r="C20" s="210">
        <v>1.48</v>
      </c>
      <c r="D20" s="210">
        <v>1.4</v>
      </c>
      <c r="E20" s="210">
        <v>1.35</v>
      </c>
      <c r="F20" s="210">
        <v>1.26</v>
      </c>
      <c r="G20" s="214">
        <f>IF(AND(A20&lt;'6399 S'!$G$8,'6399 S'!$G$8&lt;A21,S$13&lt;'6399 S'!$G$21,'6399 S'!$G$21&lt;D$18),1,0)</f>
        <v>0</v>
      </c>
      <c r="H20" s="214">
        <f>IF(AND(A20&lt;'6399 S'!$G$8,'6399 S'!$G$8&lt;A21,D18&lt;'6399 S'!$G$21,'6399 S'!$G$21&lt;E18),1,0)</f>
        <v>0</v>
      </c>
      <c r="I20" s="214">
        <f>IF(AND(A20&lt;'6399 S'!$G$8,'6399 S'!$G$8&lt;A21,E18&lt;'6399 S'!$G$21,'6399 S'!$G$21&lt;F18),1,0)</f>
        <v>0</v>
      </c>
      <c r="J20" s="215">
        <f>IF(G20=1,((((C21-C20)/B20)*('6399 S'!G$8-A20))+C20),0)</f>
        <v>0</v>
      </c>
      <c r="K20" s="216">
        <f>IF(G20=1,((((D21-D20)/B20)*('6399 S'!$G$8-A20))+D20),0)</f>
        <v>0</v>
      </c>
      <c r="L20" s="217">
        <f>IF(G20=1,((((J20-K20)/C$19)*('6399 S'!G$21-S$13))*(-1)+J20),0)</f>
        <v>0</v>
      </c>
      <c r="M20" s="216">
        <f>IF(H20=1,((((D21-D20)/B20)*('6399 S'!G$8-A20))+D20),0)</f>
        <v>0</v>
      </c>
      <c r="N20" s="216">
        <f>IF(H20=1,((((E21-E20)/B20)*('6399 S'!G$8-A20))+E20),0)</f>
        <v>0</v>
      </c>
      <c r="O20" s="216">
        <f>IF(H20=1,((((M20-N20)/D$19)*('6399 S'!G$21-D$18))*(-1)+M20),0)</f>
        <v>0</v>
      </c>
      <c r="P20" s="215">
        <f>IF(I20=1,((((E21-E20)/B20)*('6399 S'!G$8-A20))+E20),0)</f>
        <v>0</v>
      </c>
      <c r="Q20" s="216">
        <f>IF(I20=1,((((F21-F20)/B20)*('6399 S'!G$8-A20))+F20),0)</f>
        <v>0</v>
      </c>
      <c r="R20" s="217">
        <f>IF(I20=1,((((P20-Q20)/E$19)*('6399 S'!G$21-E$18))*(-1)+P20),0)</f>
        <v>0</v>
      </c>
      <c r="S20" s="211"/>
      <c r="T20" s="211"/>
      <c r="U20" s="176"/>
      <c r="V20" s="176"/>
      <c r="W20" s="176"/>
      <c r="X20" s="176"/>
      <c r="Y20" s="176"/>
      <c r="Z20" s="176"/>
      <c r="AA20" s="176"/>
      <c r="AB20" s="176"/>
      <c r="AC20" s="176"/>
      <c r="AD20" s="211"/>
      <c r="AE20" s="211"/>
      <c r="AF20" s="211"/>
      <c r="AG20" s="211"/>
      <c r="AH20" s="176"/>
      <c r="AI20" s="176"/>
      <c r="AJ20" s="176"/>
      <c r="AK20" s="176"/>
      <c r="AL20" s="176"/>
    </row>
    <row r="21" spans="1:38" x14ac:dyDescent="0.2">
      <c r="A21" s="212">
        <v>4.9999900000000004</v>
      </c>
      <c r="B21" s="212">
        <f t="shared" si="1"/>
        <v>5</v>
      </c>
      <c r="C21" s="210">
        <v>1.65</v>
      </c>
      <c r="D21" s="210">
        <v>1.62</v>
      </c>
      <c r="E21" s="210">
        <v>1.57</v>
      </c>
      <c r="F21" s="210">
        <v>1.45</v>
      </c>
      <c r="G21" s="214">
        <f>IF(AND(A21&lt;'6399 S'!$G$8,'6399 S'!$G$8&lt;A22,S$13&lt;'6399 S'!$G$21,'6399 S'!$G$21&lt;D$18),1,0)</f>
        <v>0</v>
      </c>
      <c r="H21" s="214">
        <f>IF(AND(A21&lt;'6399 S'!$G$8,'6399 S'!$G$8&lt;A22,D18&lt;'6399 S'!$G$21,'6399 S'!$G$21&lt;E18),1,0)</f>
        <v>0</v>
      </c>
      <c r="I21" s="214">
        <f>IF(AND(A21&lt;'6399 S'!$G$8,'6399 S'!$G$8&lt;A22,E18&lt;'6399 S'!$G$21,'6399 S'!$G$21&lt;F18),1,0)</f>
        <v>0</v>
      </c>
      <c r="J21" s="218">
        <f>IF(G21=1,((((C22-C21)/B21)*('6399 S'!G$8-A21))+C21),0)</f>
        <v>0</v>
      </c>
      <c r="K21" s="214">
        <f>IF(G21=1,((((D22-D21)/B21)*('6399 S'!$G$8-A21))+D21),0)</f>
        <v>0</v>
      </c>
      <c r="L21" s="219">
        <f>IF(G21=1,((((J21-K21)/C$19)*('6399 S'!G$21-S$13))*(-1)+J21),0)</f>
        <v>0</v>
      </c>
      <c r="M21" s="214">
        <f>IF(H21=1,((((D22-D21)/B21)*('6399 S'!G$8-A21))+D21),0)</f>
        <v>0</v>
      </c>
      <c r="N21" s="214">
        <f>IF(H21=1,((((E22-E21)/B21)*('6399 S'!G$8-A21))+E21),0)</f>
        <v>0</v>
      </c>
      <c r="O21" s="214">
        <f>IF(H21=1,((((M21-N21)/D$19)*('6399 S'!G$21-D$18))*(-1)+M21),0)</f>
        <v>0</v>
      </c>
      <c r="P21" s="218">
        <f>IF(I21=1,((((E22-E21)/B21)*('6399 S'!G$8-A21))+E21),0)</f>
        <v>0</v>
      </c>
      <c r="Q21" s="214">
        <f>IF(I21=1,((((F22-F21)/B21)*('6399 S'!G$8-A21))+F21),0)</f>
        <v>0</v>
      </c>
      <c r="R21" s="219">
        <f>IF(I21=1,((((P21-Q21)/E$19)*('6399 S'!G$21-E$18))*(-1)+P21),0)</f>
        <v>0</v>
      </c>
      <c r="S21" s="211"/>
      <c r="T21" s="211"/>
      <c r="U21" s="176"/>
      <c r="V21" s="176"/>
      <c r="W21" s="176"/>
      <c r="X21" s="176"/>
      <c r="Y21" s="176"/>
      <c r="Z21" s="176"/>
      <c r="AA21" s="176"/>
      <c r="AB21" s="176"/>
      <c r="AC21" s="176"/>
      <c r="AD21" s="211"/>
      <c r="AE21" s="211"/>
      <c r="AF21" s="211"/>
      <c r="AG21" s="211"/>
      <c r="AH21" s="176"/>
      <c r="AI21" s="176"/>
      <c r="AJ21" s="176"/>
      <c r="AK21" s="176"/>
      <c r="AL21" s="176"/>
    </row>
    <row r="22" spans="1:38" x14ac:dyDescent="0.2">
      <c r="A22" s="212">
        <v>9.9999900000000004</v>
      </c>
      <c r="B22" s="212">
        <f t="shared" si="1"/>
        <v>5</v>
      </c>
      <c r="C22" s="210">
        <v>1.78</v>
      </c>
      <c r="D22" s="210">
        <v>1.78</v>
      </c>
      <c r="E22" s="210">
        <v>1.73</v>
      </c>
      <c r="F22" s="210">
        <v>1.62</v>
      </c>
      <c r="G22" s="214">
        <f>IF(AND(A22&lt;'6399 S'!$G$8,'6399 S'!$G$8&lt;A23,S$13&lt;'6399 S'!$G$21,'6399 S'!$G$21&lt;D$18),1,0)</f>
        <v>0</v>
      </c>
      <c r="H22" s="214">
        <f>IF(AND(A22&lt;'6399 S'!$G$8,'6399 S'!$G$8&lt;A23,D18&lt;'6399 S'!$G$21,'6399 S'!$G$21&lt;E18),1,0)</f>
        <v>0</v>
      </c>
      <c r="I22" s="214">
        <f>IF(AND(A22&lt;'6399 S'!$G$8,'6399 S'!$G$8&lt;A23,E18&lt;'6399 S'!$G$21,'6399 S'!$G$21&lt;F18),1,0)</f>
        <v>0</v>
      </c>
      <c r="J22" s="218">
        <f>IF(G22=1,((((C23-C22)/B22)*('6399 S'!G$8-A22))+C22),0)</f>
        <v>0</v>
      </c>
      <c r="K22" s="214">
        <f>IF(G22=1,((((D23-D22)/B22)*('6399 S'!$G$8-A22))+D22),0)</f>
        <v>0</v>
      </c>
      <c r="L22" s="219">
        <f>IF(G22=1,((((J22-K22)/C$19)*('6399 S'!G$21-S$13))*(-1)+J22),0)</f>
        <v>0</v>
      </c>
      <c r="M22" s="214">
        <f>IF(H22=1,((((D23-D22)/B22)*('6399 S'!G$8-A22))+D22),0)</f>
        <v>0</v>
      </c>
      <c r="N22" s="214">
        <f>IF(H22=1,((((E23-E22)/B22)*('6399 S'!G$8-A22))+E22),0)</f>
        <v>0</v>
      </c>
      <c r="O22" s="214">
        <f>IF(H22=1,((((M22-N22)/D$19)*('6399 S'!G$21-D$18))*(-1)+M22),0)</f>
        <v>0</v>
      </c>
      <c r="P22" s="218">
        <f>IF(I22=1,((((E23-E22)/B22)*('6399 S'!G$8-A22))+E22),0)</f>
        <v>0</v>
      </c>
      <c r="Q22" s="214">
        <f>IF(I22=1,((((F23-F22)/B22)*('6399 S'!G$8-A22))+F22),0)</f>
        <v>0</v>
      </c>
      <c r="R22" s="219">
        <f>IF(I22=1,((((P22-Q22)/E$19)*('6399 S'!G$21-E$18))*(-1)+P22),0)</f>
        <v>0</v>
      </c>
      <c r="S22" s="211"/>
      <c r="T22" s="211"/>
      <c r="U22" s="176"/>
      <c r="V22" s="176"/>
      <c r="W22" s="176"/>
      <c r="X22" s="176"/>
      <c r="Y22" s="176"/>
      <c r="Z22" s="176"/>
      <c r="AA22" s="176"/>
      <c r="AB22" s="176"/>
      <c r="AC22" s="176"/>
      <c r="AD22" s="211"/>
      <c r="AE22" s="211"/>
      <c r="AF22" s="211"/>
      <c r="AG22" s="211"/>
      <c r="AH22" s="176"/>
      <c r="AI22" s="176"/>
      <c r="AJ22" s="176"/>
      <c r="AK22" s="176"/>
      <c r="AL22" s="176"/>
    </row>
    <row r="23" spans="1:38" x14ac:dyDescent="0.2">
      <c r="A23" s="212">
        <v>14.99999</v>
      </c>
      <c r="B23" s="212">
        <f t="shared" si="1"/>
        <v>5</v>
      </c>
      <c r="C23" s="210">
        <v>1.85</v>
      </c>
      <c r="D23" s="210">
        <v>1.85</v>
      </c>
      <c r="E23" s="210">
        <v>1.82</v>
      </c>
      <c r="F23" s="210">
        <v>1.71</v>
      </c>
      <c r="G23" s="214">
        <f>IF(AND(A23&lt;'6399 S'!$G$8,'6399 S'!$G$8&lt;A24,S$13&lt;'6399 S'!$G$21,'6399 S'!$G$21&lt;D$18),1,0)</f>
        <v>0</v>
      </c>
      <c r="H23" s="214">
        <f>IF(AND(A23&lt;'6399 S'!$G$8,'6399 S'!$G$8&lt;A24,D18&lt;'6399 S'!$G$21,'6399 S'!$G$21&lt;E18),1,0)</f>
        <v>0</v>
      </c>
      <c r="I23" s="214">
        <f>IF(AND(A23&lt;'6399 S'!$G$8,'6399 S'!$G$8&lt;A24,E18&lt;'6399 S'!$G$21,'6399 S'!$G$21&lt;F18),1,0)</f>
        <v>0</v>
      </c>
      <c r="J23" s="218">
        <f>IF(G23=1,((((C24-C23)/B23)*('6399 S'!G$8-A23))+C23),0)</f>
        <v>0</v>
      </c>
      <c r="K23" s="214">
        <f>IF(G23=1,((((D24-D23)/B23)*('6399 S'!$G$8-A23))+D23),0)</f>
        <v>0</v>
      </c>
      <c r="L23" s="219">
        <f>IF(G23=1,((((J23-K23)/C$19)*('6399 S'!G$21-S$13))*(-1)+J23),0)</f>
        <v>0</v>
      </c>
      <c r="M23" s="214">
        <f>IF(H23=1,((((D24-D23)/B23)*('6399 S'!G$8-A23))+D23),0)</f>
        <v>0</v>
      </c>
      <c r="N23" s="214">
        <f>IF(H23=1,((((E24-E23)/B23)*('6399 S'!G$8-A23))+E23),0)</f>
        <v>0</v>
      </c>
      <c r="O23" s="214">
        <f>IF(H23=1,((((M23-N23)/D$19)*('6399 S'!G$21-D$18))*(-1)+M23),0)</f>
        <v>0</v>
      </c>
      <c r="P23" s="218">
        <f>IF(I23=1,((((E24-E23)/B23)*('6399 S'!G$8-A23))+E23),0)</f>
        <v>0</v>
      </c>
      <c r="Q23" s="214">
        <f>IF(I23=1,((((F24-F23)/B23)*('6399 S'!G$8-A23))+F23),0)</f>
        <v>0</v>
      </c>
      <c r="R23" s="219">
        <f>IF(I23=1,((((P23-Q23)/E$19)*('6399 S'!G$21-E$18))*(-1)+P23),0)</f>
        <v>0</v>
      </c>
      <c r="S23" s="211"/>
      <c r="T23" s="211"/>
      <c r="U23" s="176"/>
      <c r="V23" s="176"/>
      <c r="W23" s="176"/>
      <c r="X23" s="176"/>
      <c r="Y23" s="176"/>
      <c r="Z23" s="176"/>
      <c r="AA23" s="176"/>
      <c r="AB23" s="176"/>
      <c r="AC23" s="176"/>
      <c r="AD23" s="211"/>
      <c r="AE23" s="211"/>
      <c r="AF23" s="211"/>
      <c r="AG23" s="211"/>
      <c r="AH23" s="176"/>
      <c r="AI23" s="176"/>
      <c r="AJ23" s="176"/>
      <c r="AK23" s="176"/>
      <c r="AL23" s="176"/>
    </row>
    <row r="24" spans="1:38" x14ac:dyDescent="0.2">
      <c r="A24" s="212">
        <v>19.99999</v>
      </c>
      <c r="B24" s="212">
        <f t="shared" si="1"/>
        <v>10</v>
      </c>
      <c r="C24" s="210">
        <v>1.9</v>
      </c>
      <c r="D24" s="225">
        <v>1.9</v>
      </c>
      <c r="E24" s="210">
        <v>1.89</v>
      </c>
      <c r="F24" s="210">
        <v>1.77</v>
      </c>
      <c r="G24" s="214">
        <f>IF(AND(A24&lt;'6399 S'!$G$8,'6399 S'!$G$8&lt;A25,S$13&lt;'6399 S'!$G$21,'6399 S'!$G$21&lt;D$18),1,0)</f>
        <v>0</v>
      </c>
      <c r="H24" s="214">
        <f>IF(AND(A24&lt;'6399 S'!$G$8,'6399 S'!$G$8&lt;A25,D18&lt;'6399 S'!$G$21,'6399 S'!$G$21&lt;E18),1,0)</f>
        <v>0</v>
      </c>
      <c r="I24" s="214">
        <f>IF(AND(A24&lt;'6399 S'!$G$8,'6399 S'!$G$8&lt;A25,E18&lt;'6399 S'!$G$21,'6399 S'!$G$21&lt;F18),1,0)</f>
        <v>0</v>
      </c>
      <c r="J24" s="218">
        <f>IF(G24=1,((((C25-C24)/B24)*('6399 S'!G$8-A24))+C24),0)</f>
        <v>0</v>
      </c>
      <c r="K24" s="214">
        <f>IF(G24=1,((((D25-D24)/B24)*('6399 S'!$G$8-A24))+D24),0)</f>
        <v>0</v>
      </c>
      <c r="L24" s="219">
        <f>IF(G24=1,((((J24-K24)/C$19)*('6399 S'!G$21-S$13))*(-1)+J24),0)</f>
        <v>0</v>
      </c>
      <c r="M24" s="214">
        <f>IF(H24=1,((((D25-D24)/B24)*('6399 S'!G$8-A24))+D24),0)</f>
        <v>0</v>
      </c>
      <c r="N24" s="214">
        <f>IF(H24=1,((((E25-E24)/B24)*('6399 S'!G$8-A24))+E24),0)</f>
        <v>0</v>
      </c>
      <c r="O24" s="214">
        <f>IF(H24=1,((((M24-N24)/D$19)*('6399 S'!G$21-D$18))*(-1)+M24),0)</f>
        <v>0</v>
      </c>
      <c r="P24" s="218">
        <f>IF(I24=1,((((E25-E24)/B24)*('6399 S'!G$8-A24))+E24),0)</f>
        <v>0</v>
      </c>
      <c r="Q24" s="214">
        <f>IF(I24=1,((((F25-F24)/B24)*('6399 S'!G$8-A24))+F24),0)</f>
        <v>0</v>
      </c>
      <c r="R24" s="219">
        <f>IF(I24=1,((((P24-Q24)/E$19)*('6399 S'!G$21-E$18))*(-1)+P24),0)</f>
        <v>0</v>
      </c>
      <c r="S24" s="211"/>
      <c r="T24" s="211"/>
      <c r="U24" s="176"/>
      <c r="V24" s="176"/>
      <c r="W24" s="176"/>
      <c r="X24" s="176"/>
      <c r="Y24" s="176"/>
      <c r="Z24" s="176"/>
      <c r="AA24" s="176"/>
      <c r="AB24" s="176"/>
      <c r="AC24" s="176"/>
      <c r="AD24" s="211"/>
      <c r="AE24" s="211"/>
      <c r="AF24" s="211"/>
      <c r="AG24" s="211"/>
      <c r="AH24" s="176"/>
      <c r="AI24" s="176"/>
      <c r="AJ24" s="176"/>
      <c r="AK24" s="176"/>
      <c r="AL24" s="176"/>
    </row>
    <row r="25" spans="1:38" x14ac:dyDescent="0.2">
      <c r="A25" s="212">
        <v>29.99999</v>
      </c>
      <c r="B25" s="212">
        <f t="shared" si="1"/>
        <v>19.999999999999996</v>
      </c>
      <c r="C25" s="210">
        <v>1.96</v>
      </c>
      <c r="D25" s="210">
        <v>1.96</v>
      </c>
      <c r="E25" s="210">
        <v>1.96</v>
      </c>
      <c r="F25" s="210">
        <v>1.85</v>
      </c>
      <c r="G25" s="214">
        <f>IF(AND(A25&lt;'6399 S'!$G$8,'6399 S'!$G$8&lt;A26,S$13&lt;'6399 S'!$G$21,'6399 S'!$G$21&lt;D$18),1,0)</f>
        <v>0</v>
      </c>
      <c r="H25" s="214">
        <f>IF(AND(A25&lt;'6399 S'!$G$8,'6399 S'!$G$8&lt;A26,D18&lt;'6399 S'!$G$21,'6399 S'!$G$21&lt;E18),1,0)</f>
        <v>0</v>
      </c>
      <c r="I25" s="214">
        <f>IF(AND(A25&lt;'6399 S'!$G$8,'6399 S'!$G$8&lt;A26,E18&lt;'6399 S'!$G$21,'6399 S'!$G$21&lt;F18),1,0)</f>
        <v>0</v>
      </c>
      <c r="J25" s="218">
        <f>IF(G25=1,((((C26-C25)/B25)*('6399 S'!G$8-A25))+C25),0)</f>
        <v>0</v>
      </c>
      <c r="K25" s="214">
        <f>IF(G25=1,((((D26-D25)/B25)*('6399 S'!$G$8-A25))+D25),0)</f>
        <v>0</v>
      </c>
      <c r="L25" s="219">
        <f>IF(G25=1,((((J25-K25)/C$19)*('6399 S'!G$21-S$13))*(-1)+J25),0)</f>
        <v>0</v>
      </c>
      <c r="M25" s="214">
        <f>IF(H25=1,((((D26-D25)/B25)*('6399 S'!G$8-A25))+D25),0)</f>
        <v>0</v>
      </c>
      <c r="N25" s="214">
        <f>IF(H25=1,((((E26-E25)/B25)*('6399 S'!G$8-A25))+E25),0)</f>
        <v>0</v>
      </c>
      <c r="O25" s="214">
        <f>IF(H25=1,((((M25-N25)/D$19)*('6399 S'!G$21-D$18))*(-1)+M25),0)</f>
        <v>0</v>
      </c>
      <c r="P25" s="218">
        <f>IF(I25=1,((((E26-E25)/B25)*('6399 S'!G$8-A25))+E25),0)</f>
        <v>0</v>
      </c>
      <c r="Q25" s="214">
        <f>IF(I25=1,((((F26-F25)/B25)*('6399 S'!G$8-A25))+F25),0)</f>
        <v>0</v>
      </c>
      <c r="R25" s="219">
        <f>IF(I25=1,((((P25-Q25)/E$19)*('6399 S'!G$21-E$18))*(-1)+P25),0)</f>
        <v>0</v>
      </c>
      <c r="S25" s="211"/>
      <c r="T25" s="211"/>
      <c r="U25" s="176"/>
      <c r="V25" s="176"/>
      <c r="W25" s="176"/>
      <c r="X25" s="176"/>
      <c r="Y25" s="176"/>
      <c r="Z25" s="176"/>
      <c r="AA25" s="176"/>
      <c r="AB25" s="176"/>
      <c r="AC25" s="176"/>
      <c r="AD25" s="211"/>
      <c r="AE25" s="211"/>
      <c r="AF25" s="211"/>
      <c r="AG25" s="211"/>
      <c r="AH25" s="176"/>
      <c r="AI25" s="176"/>
      <c r="AJ25" s="176"/>
      <c r="AK25" s="176"/>
      <c r="AL25" s="176"/>
    </row>
    <row r="26" spans="1:38" x14ac:dyDescent="0.2">
      <c r="A26" s="212">
        <v>49.999989999999997</v>
      </c>
      <c r="B26" s="212">
        <f t="shared" si="1"/>
        <v>50.000020000000006</v>
      </c>
      <c r="C26" s="210">
        <v>2.04</v>
      </c>
      <c r="D26" s="210">
        <v>2.04</v>
      </c>
      <c r="E26" s="210">
        <v>2.04</v>
      </c>
      <c r="F26" s="210">
        <v>1.95</v>
      </c>
      <c r="G26" s="214">
        <f>IF(AND(A26&lt;'6399 S'!$G$8,'6399 S'!$G$8&lt;A27,S$13&lt;'6399 S'!$G$21,'6399 S'!$G$21&lt;D$18),1,0)</f>
        <v>0</v>
      </c>
      <c r="H26" s="214">
        <f>IF(AND(A26&lt;'6399 S'!$G$8,'6399 S'!$G$8&lt;A27,D18&lt;'6399 S'!$G$21,'6399 S'!$G$21&lt;E18),1,0)</f>
        <v>0</v>
      </c>
      <c r="I26" s="214">
        <f>IF(AND(A26&lt;'6399 S'!$G$8,'6399 S'!$G$8&lt;A27,E18&lt;'6399 S'!$G$21,'6399 S'!$G$21&lt;F18),1,0)</f>
        <v>0</v>
      </c>
      <c r="J26" s="218">
        <f>IF(G26=1,((((C27-C26)/B26)*('6399 S'!G$8-A26))+C26),0)</f>
        <v>0</v>
      </c>
      <c r="K26" s="214">
        <f>IF(G26=1,((((D27-D26)/B26)*('6399 S'!$G$8-A26))+D26),0)</f>
        <v>0</v>
      </c>
      <c r="L26" s="219">
        <f>IF(G26=1,((((J26-K26)/C$19)*('6399 S'!G$21-S$13))*(-1)+J26),0)</f>
        <v>0</v>
      </c>
      <c r="M26" s="214">
        <f>IF(H26=1,((((D27-D26)/B26)*('6399 S'!G$8-A26))+D26),0)</f>
        <v>0</v>
      </c>
      <c r="N26" s="214">
        <f>IF(H26=1,((((E27-E26)/B26)*('6399 S'!G$8-A26))+E26),0)</f>
        <v>0</v>
      </c>
      <c r="O26" s="214">
        <f>IF(H26=1,((((M26-N26)/D$19)*('6399 S'!G$21-D$18))*(-1)+M26),0)</f>
        <v>0</v>
      </c>
      <c r="P26" s="218">
        <f>IF(I26=1,((((E27-E26)/B26)*('6399 S'!G$8-A26))+E26),0)</f>
        <v>0</v>
      </c>
      <c r="Q26" s="214">
        <f>IF(I26=1,((((F27-F26)/B26)*('6399 S'!G$8-A26))+F26),0)</f>
        <v>0</v>
      </c>
      <c r="R26" s="219">
        <f>IF(I26=1,((((P26-Q26)/E$19)*('6399 S'!G$21-E$18))*(-1)+P26),0)</f>
        <v>0</v>
      </c>
      <c r="S26" s="211"/>
      <c r="T26" s="211"/>
      <c r="U26" s="176"/>
      <c r="V26" s="176"/>
      <c r="W26" s="176"/>
      <c r="X26" s="176"/>
      <c r="Y26" s="176"/>
      <c r="Z26" s="176"/>
      <c r="AA26" s="176"/>
      <c r="AB26" s="176"/>
      <c r="AC26" s="176"/>
      <c r="AD26" s="211"/>
      <c r="AE26" s="211"/>
      <c r="AF26" s="211"/>
      <c r="AG26" s="211"/>
      <c r="AH26" s="176"/>
      <c r="AI26" s="176"/>
      <c r="AJ26" s="176"/>
      <c r="AK26" s="176"/>
      <c r="AL26" s="176"/>
    </row>
    <row r="27" spans="1:38" ht="13.5" thickBot="1" x14ac:dyDescent="0.25">
      <c r="A27" s="211">
        <v>100.00001</v>
      </c>
      <c r="B27" s="211"/>
      <c r="C27" s="210">
        <v>2.12</v>
      </c>
      <c r="D27" s="210">
        <v>2.12</v>
      </c>
      <c r="E27" s="210">
        <v>2.12</v>
      </c>
      <c r="F27" s="210">
        <v>2.0699999999999998</v>
      </c>
      <c r="G27" s="211"/>
      <c r="H27" s="214"/>
      <c r="I27" s="214"/>
      <c r="J27" s="221">
        <f>IF(E27=1,(((('6399 S'!I28-A27)/'6399 S'!H29)*('6399 S'!D$8-'6399 S'!G29))+A27),0)</f>
        <v>0</v>
      </c>
      <c r="K27" s="222">
        <f>IF(G27=1,((((D28-D27)/B27)*('6399 S'!$G$8-A27))+D27),0)</f>
        <v>0</v>
      </c>
      <c r="L27" s="223">
        <f>IF(G27=1,((((J27-K27)/C$19)*('6399 S'!G$21-S$13))*(-1)+J27),0)</f>
        <v>0</v>
      </c>
      <c r="M27" s="222">
        <f>IF(H27=1,((((C28-D27)/B27)*('6399 S'!G$8-A27))+D27),0)</f>
        <v>0</v>
      </c>
      <c r="N27" s="222">
        <f>IF(H27=1,((((D28-E27)/B27)*('6399 S'!G$8-A27))+E27),0)</f>
        <v>0</v>
      </c>
      <c r="O27" s="222">
        <f>IF(H27=1,((((M27-N27)/D$19)*('6399 S'!G$21-D$18))*(-1)+M27),0)</f>
        <v>0</v>
      </c>
      <c r="P27" s="221">
        <f>IF(I27=1,((((D28-E27)/B27)*('6399 S'!G$8-A27))+E27),0)</f>
        <v>0</v>
      </c>
      <c r="Q27" s="222">
        <f>IF(I27=1,((((E28-F27)/B27)*('6399 S'!G$8-A27))+F27),0)</f>
        <v>0</v>
      </c>
      <c r="R27" s="223">
        <f>IF(I27=1,((((P27-Q27)/E$19)*('6399 S'!G$21-E$18))*(-1)+P27),0)</f>
        <v>0</v>
      </c>
      <c r="S27" s="211"/>
      <c r="T27" s="211"/>
      <c r="U27" s="176"/>
      <c r="V27" s="176"/>
      <c r="W27" s="176"/>
      <c r="X27" s="176"/>
      <c r="Y27" s="176"/>
      <c r="Z27" s="176"/>
      <c r="AA27" s="176"/>
      <c r="AB27" s="176"/>
      <c r="AC27" s="176"/>
      <c r="AD27" s="211"/>
      <c r="AE27" s="211"/>
      <c r="AF27" s="211"/>
      <c r="AG27" s="211"/>
      <c r="AH27" s="176"/>
      <c r="AI27" s="176"/>
      <c r="AJ27" s="176"/>
      <c r="AK27" s="176"/>
      <c r="AL27" s="176"/>
    </row>
    <row r="28" spans="1:38" x14ac:dyDescent="0.2">
      <c r="A28" s="211"/>
      <c r="B28" s="211"/>
      <c r="C28" s="211"/>
      <c r="D28" s="211"/>
      <c r="E28" s="211"/>
      <c r="F28" s="211"/>
      <c r="G28" s="211"/>
      <c r="H28" s="211"/>
      <c r="I28" s="211"/>
      <c r="J28" s="211"/>
      <c r="K28" s="211"/>
      <c r="L28" s="224">
        <f>SUM(L20:L27)</f>
        <v>0</v>
      </c>
      <c r="M28" s="211"/>
      <c r="N28" s="211"/>
      <c r="O28" s="224">
        <f>SUM(O20:O27)</f>
        <v>0</v>
      </c>
      <c r="P28" s="211"/>
      <c r="Q28" s="211"/>
      <c r="R28" s="224">
        <f>SUM(R20:R27)</f>
        <v>0</v>
      </c>
      <c r="S28" s="176"/>
      <c r="T28" s="211"/>
      <c r="U28" s="176"/>
      <c r="V28" s="176"/>
      <c r="W28" s="176"/>
      <c r="X28" s="176"/>
      <c r="Y28" s="176"/>
      <c r="Z28" s="176"/>
      <c r="AA28" s="176"/>
      <c r="AB28" s="176"/>
      <c r="AC28" s="176"/>
      <c r="AD28" s="211"/>
      <c r="AE28" s="211"/>
      <c r="AF28" s="211"/>
      <c r="AG28" s="211"/>
      <c r="AH28" s="176"/>
      <c r="AI28" s="176"/>
      <c r="AJ28" s="176"/>
      <c r="AK28" s="176"/>
      <c r="AL28" s="176"/>
    </row>
    <row r="29" spans="1:38" x14ac:dyDescent="0.2">
      <c r="A29" s="211"/>
      <c r="B29" s="211" t="s">
        <v>188</v>
      </c>
      <c r="C29" s="211" t="s">
        <v>189</v>
      </c>
      <c r="D29" s="211" t="s">
        <v>180</v>
      </c>
      <c r="E29" s="211"/>
      <c r="F29" s="211"/>
      <c r="G29" s="211"/>
      <c r="H29" s="211"/>
      <c r="I29" s="211"/>
      <c r="J29" s="211"/>
      <c r="K29" s="211"/>
      <c r="L29" s="211"/>
      <c r="M29" s="211"/>
      <c r="N29" s="211"/>
      <c r="O29" s="211"/>
      <c r="P29" s="211"/>
      <c r="Q29" s="211"/>
      <c r="R29" s="211">
        <f>O28+R28+L28</f>
        <v>0</v>
      </c>
      <c r="S29" s="211"/>
      <c r="T29" s="211"/>
      <c r="U29" s="176"/>
      <c r="V29" s="176"/>
      <c r="W29" s="176"/>
      <c r="X29" s="176"/>
      <c r="Y29" s="176"/>
      <c r="Z29" s="176"/>
      <c r="AA29" s="176"/>
      <c r="AB29" s="176"/>
      <c r="AC29" s="176"/>
      <c r="AD29" s="211"/>
      <c r="AE29" s="211"/>
      <c r="AF29" s="211"/>
      <c r="AG29" s="211"/>
      <c r="AH29" s="176"/>
      <c r="AI29" s="176"/>
      <c r="AJ29" s="176"/>
      <c r="AK29" s="176"/>
      <c r="AL29" s="176"/>
    </row>
    <row r="30" spans="1:38" x14ac:dyDescent="0.2">
      <c r="A30" s="211">
        <f>IF(OR('6399 S'!$G$31&lt;('6399 S'!$G$29/4),'6399 S'!$G$31&gt;'6399 S'!$G$29),0,1)</f>
        <v>1</v>
      </c>
      <c r="B30" s="211">
        <f>'6399 S'!G29/4</f>
        <v>0</v>
      </c>
      <c r="C30" s="211">
        <f>'6399 S'!G29/2</f>
        <v>0</v>
      </c>
      <c r="D30" s="211">
        <f>'6399 S'!G29</f>
        <v>0</v>
      </c>
      <c r="E30" s="211">
        <f>'6399 S'!G31</f>
        <v>0</v>
      </c>
      <c r="F30" s="211"/>
      <c r="G30" s="211"/>
      <c r="H30" s="211"/>
      <c r="I30" s="211"/>
      <c r="J30" s="211"/>
      <c r="K30" s="211"/>
      <c r="L30" s="211"/>
      <c r="M30" s="211"/>
      <c r="N30" s="211"/>
      <c r="O30" s="211"/>
      <c r="P30" s="211"/>
      <c r="Q30" s="211"/>
      <c r="R30" s="211"/>
      <c r="S30" s="211"/>
      <c r="T30" s="211"/>
      <c r="U30" s="176"/>
      <c r="V30" s="176"/>
      <c r="W30" s="176"/>
      <c r="X30" s="176"/>
      <c r="Y30" s="176"/>
      <c r="Z30" s="176"/>
      <c r="AA30" s="176"/>
      <c r="AB30" s="176"/>
      <c r="AC30" s="176"/>
      <c r="AD30" s="211"/>
      <c r="AE30" s="211"/>
      <c r="AF30" s="211"/>
      <c r="AG30" s="211"/>
      <c r="AH30" s="176"/>
      <c r="AI30" s="176"/>
      <c r="AJ30" s="176"/>
      <c r="AK30" s="176"/>
      <c r="AL30" s="176"/>
    </row>
    <row r="31" spans="1:38" x14ac:dyDescent="0.2">
      <c r="A31" s="211"/>
      <c r="B31" s="211"/>
      <c r="C31" s="211"/>
      <c r="D31" s="211"/>
      <c r="E31" s="211"/>
      <c r="F31" s="211"/>
      <c r="G31" s="211"/>
      <c r="H31" s="211"/>
      <c r="I31" s="211"/>
      <c r="J31" s="211"/>
      <c r="K31" s="211"/>
      <c r="L31" s="211"/>
      <c r="M31" s="211"/>
      <c r="N31" s="211"/>
      <c r="O31" s="211"/>
      <c r="P31" s="211"/>
      <c r="Q31" s="211"/>
      <c r="R31" s="211"/>
      <c r="S31" s="211"/>
      <c r="T31" s="211"/>
      <c r="U31" s="176"/>
      <c r="V31" s="176"/>
      <c r="W31" s="176"/>
      <c r="X31" s="176"/>
      <c r="Y31" s="176"/>
      <c r="Z31" s="176"/>
      <c r="AA31" s="176"/>
      <c r="AB31" s="176"/>
      <c r="AC31" s="176"/>
      <c r="AD31" s="211"/>
      <c r="AE31" s="211"/>
      <c r="AF31" s="211"/>
      <c r="AG31" s="211"/>
      <c r="AH31" s="176"/>
      <c r="AI31" s="176"/>
      <c r="AJ31" s="176"/>
      <c r="AK31" s="176"/>
      <c r="AL31" s="176"/>
    </row>
    <row r="32" spans="1:38" x14ac:dyDescent="0.2">
      <c r="A32" s="211"/>
      <c r="B32" s="211"/>
      <c r="C32" s="211"/>
      <c r="D32" s="211"/>
      <c r="E32" s="211"/>
      <c r="F32" s="211"/>
      <c r="G32" s="211"/>
      <c r="H32" s="211"/>
      <c r="I32" s="211"/>
      <c r="J32" s="211"/>
      <c r="K32" s="211"/>
      <c r="L32" s="211"/>
      <c r="M32" s="211"/>
      <c r="N32" s="211"/>
      <c r="O32" s="211"/>
      <c r="P32" s="211"/>
      <c r="Q32" s="211"/>
      <c r="R32" s="211"/>
      <c r="S32" s="211"/>
      <c r="T32" s="211"/>
      <c r="U32" s="176"/>
      <c r="V32" s="176"/>
      <c r="W32" s="176"/>
      <c r="X32" s="176"/>
      <c r="Y32" s="176"/>
      <c r="Z32" s="176"/>
      <c r="AA32" s="176"/>
      <c r="AB32" s="176"/>
      <c r="AC32" s="176"/>
      <c r="AD32" s="211"/>
      <c r="AE32" s="211"/>
      <c r="AF32" s="211"/>
      <c r="AG32" s="211"/>
      <c r="AH32" s="176"/>
      <c r="AI32" s="176"/>
      <c r="AJ32" s="176"/>
      <c r="AK32" s="176"/>
      <c r="AL32" s="176"/>
    </row>
    <row r="33" spans="1:38" x14ac:dyDescent="0.2">
      <c r="A33" s="211"/>
      <c r="B33" s="211"/>
      <c r="C33" s="211"/>
      <c r="D33" s="211"/>
      <c r="E33" s="211"/>
      <c r="F33" s="211"/>
      <c r="G33" s="211"/>
      <c r="H33" s="211"/>
      <c r="I33" s="211"/>
      <c r="J33" s="211"/>
      <c r="K33" s="211"/>
      <c r="L33" s="211"/>
      <c r="M33" s="211"/>
      <c r="N33" s="211"/>
      <c r="O33" s="211"/>
      <c r="P33" s="211"/>
      <c r="Q33" s="211"/>
      <c r="R33" s="211"/>
      <c r="S33" s="211"/>
      <c r="T33" s="211"/>
      <c r="U33" s="176"/>
      <c r="V33" s="176"/>
      <c r="W33" s="176"/>
      <c r="X33" s="176"/>
      <c r="Y33" s="176"/>
      <c r="Z33" s="176"/>
      <c r="AA33" s="176"/>
      <c r="AB33" s="176"/>
      <c r="AC33" s="176"/>
      <c r="AD33" s="211"/>
      <c r="AE33" s="211"/>
      <c r="AF33" s="211"/>
      <c r="AG33" s="211"/>
      <c r="AH33" s="176"/>
      <c r="AI33" s="176"/>
      <c r="AJ33" s="176"/>
      <c r="AK33" s="176"/>
      <c r="AL33" s="176"/>
    </row>
    <row r="34" spans="1:38" x14ac:dyDescent="0.2">
      <c r="A34" s="211"/>
      <c r="B34" s="211"/>
      <c r="C34" s="211"/>
      <c r="D34" s="211"/>
      <c r="E34" s="211"/>
      <c r="F34" s="211"/>
      <c r="G34" s="211"/>
      <c r="H34" s="211"/>
      <c r="I34" s="211"/>
      <c r="J34" s="211"/>
      <c r="K34" s="211"/>
      <c r="L34" s="211"/>
      <c r="M34" s="211"/>
      <c r="N34" s="211"/>
      <c r="O34" s="211"/>
      <c r="P34" s="211"/>
      <c r="Q34" s="211"/>
      <c r="R34" s="211"/>
      <c r="S34" s="211"/>
      <c r="T34" s="211"/>
      <c r="U34" s="176"/>
      <c r="V34" s="176"/>
      <c r="W34" s="176"/>
      <c r="X34" s="176"/>
      <c r="Y34" s="176"/>
      <c r="Z34" s="176"/>
      <c r="AA34" s="176"/>
      <c r="AB34" s="176"/>
      <c r="AC34" s="176"/>
      <c r="AD34" s="211"/>
      <c r="AE34" s="211"/>
      <c r="AF34" s="211"/>
      <c r="AG34" s="211"/>
      <c r="AH34" s="176"/>
      <c r="AI34" s="176"/>
      <c r="AJ34" s="176"/>
      <c r="AK34" s="176"/>
      <c r="AL34" s="176"/>
    </row>
    <row r="35" spans="1:38" x14ac:dyDescent="0.2">
      <c r="A35" s="211" t="b">
        <f>IF(A$30=1,IF(E$30&lt;B$30,1.3,IF(E$30&gt;D$30,1.3,IF(E$30&lt;C$30,(((E$30-B$30)/(C$30-B$30))*(1.6-1.3)+1.3)))))</f>
        <v>0</v>
      </c>
      <c r="B35" s="211" t="b">
        <f>IF(A$30=1,IF(E$30&gt;C$30,1.6-(E$30-C$30)/(D$30-C$30)*(1.6-1.3)))</f>
        <v>0</v>
      </c>
      <c r="C35" s="211">
        <f>IF(AND(A$30=1,E$30=C$30),1.6,0)</f>
        <v>1.6</v>
      </c>
      <c r="D35" s="211" t="b">
        <f>IF(A$30=0,1.3)</f>
        <v>0</v>
      </c>
      <c r="E35" s="211"/>
      <c r="F35" s="211"/>
      <c r="G35" s="211"/>
      <c r="H35" s="211"/>
      <c r="I35" s="211"/>
      <c r="J35" s="211"/>
      <c r="K35" s="211"/>
      <c r="L35" s="211"/>
      <c r="M35" s="211"/>
      <c r="N35" s="211"/>
      <c r="O35" s="211"/>
      <c r="P35" s="211"/>
      <c r="Q35" s="211"/>
      <c r="R35" s="211"/>
      <c r="S35" s="211"/>
      <c r="T35" s="211"/>
      <c r="U35" s="176"/>
      <c r="V35" s="176"/>
      <c r="W35" s="176"/>
      <c r="X35" s="176"/>
      <c r="Y35" s="176"/>
      <c r="Z35" s="176"/>
      <c r="AA35" s="176"/>
      <c r="AB35" s="176"/>
      <c r="AC35" s="176"/>
      <c r="AD35" s="211"/>
      <c r="AE35" s="211"/>
      <c r="AF35" s="211"/>
      <c r="AG35" s="211"/>
      <c r="AH35" s="176"/>
      <c r="AI35" s="176"/>
      <c r="AJ35" s="176"/>
      <c r="AK35" s="176"/>
      <c r="AL35" s="176"/>
    </row>
    <row r="36" spans="1:38" x14ac:dyDescent="0.2">
      <c r="A36" s="211" t="b">
        <f>IF(A$30=1,IF(E$30&lt;B$30,0.8,IF(E$30&gt;D$30,0.8,IF(E$30&lt;C$30,(((E$30-B$30)/(C$30-B$30))*(0.9-0.8)+0.8)))))</f>
        <v>0</v>
      </c>
      <c r="B36" s="211" t="b">
        <f>IF(A$30=1,IF(E$30&gt;C$30,0.9-(E$30-C$30)/(D$30-C$30)*(0.9-0.8)))</f>
        <v>0</v>
      </c>
      <c r="C36" s="211">
        <f>IF(AND(A$30=1,E$30=C$30),0.9,0)</f>
        <v>0.9</v>
      </c>
      <c r="D36" s="211" t="b">
        <f>IF(A$30=0,0.8)</f>
        <v>0</v>
      </c>
      <c r="E36" s="211"/>
      <c r="F36" s="211"/>
      <c r="G36" s="211"/>
      <c r="H36" s="211"/>
      <c r="I36" s="211"/>
      <c r="J36" s="211"/>
      <c r="K36" s="211"/>
      <c r="L36" s="211"/>
      <c r="M36" s="211"/>
      <c r="N36" s="211"/>
      <c r="O36" s="211"/>
      <c r="P36" s="211"/>
      <c r="Q36" s="211"/>
      <c r="R36" s="211"/>
      <c r="S36" s="211"/>
      <c r="T36" s="211"/>
      <c r="U36" s="176"/>
      <c r="V36" s="176"/>
      <c r="W36" s="176"/>
      <c r="X36" s="176"/>
      <c r="Y36" s="176"/>
      <c r="Z36" s="176"/>
      <c r="AA36" s="176"/>
      <c r="AB36" s="176"/>
      <c r="AC36" s="176"/>
      <c r="AD36" s="211"/>
      <c r="AE36" s="211"/>
      <c r="AF36" s="211"/>
      <c r="AG36" s="211"/>
      <c r="AH36" s="176"/>
      <c r="AI36" s="176"/>
      <c r="AJ36" s="176"/>
      <c r="AK36" s="176"/>
      <c r="AL36" s="176"/>
    </row>
    <row r="37" spans="1:38" x14ac:dyDescent="0.2">
      <c r="A37" s="211" t="b">
        <f>IF(A$30=1,IF(E$30&lt;B$30,0.4,IF(E$30&gt;D$30,0.4,IF(E$30&lt;C$30,(((E$30-B$30)/(C$30-B$30))*(0.9-0.4)+0.4)))))</f>
        <v>0</v>
      </c>
      <c r="B37" s="211" t="b">
        <f>IF(A$30=1,IF(E$30&gt;C$30,0.9-(E$30-C$30)/(D$30-C$30)*(0.9-0.4)))</f>
        <v>0</v>
      </c>
      <c r="C37" s="211">
        <f>IF(AND(A$30=1,E$30=C$30),0.9,0)</f>
        <v>0.9</v>
      </c>
      <c r="D37" s="211" t="b">
        <f>IF(A$30=0,0.4)</f>
        <v>0</v>
      </c>
      <c r="E37" s="211"/>
      <c r="F37" s="211"/>
      <c r="G37" s="211"/>
      <c r="H37" s="211"/>
      <c r="I37" s="211"/>
      <c r="J37" s="211"/>
      <c r="K37" s="211"/>
      <c r="L37" s="211"/>
      <c r="M37" s="211"/>
      <c r="N37" s="211"/>
      <c r="O37" s="211"/>
      <c r="P37" s="211"/>
      <c r="Q37" s="211"/>
      <c r="R37" s="211"/>
      <c r="S37" s="211"/>
      <c r="T37" s="211"/>
      <c r="U37" s="176"/>
      <c r="V37" s="176"/>
      <c r="W37" s="176"/>
      <c r="X37" s="176"/>
      <c r="Y37" s="176"/>
      <c r="Z37" s="176"/>
      <c r="AA37" s="176"/>
      <c r="AB37" s="176"/>
      <c r="AC37" s="176"/>
      <c r="AD37" s="211"/>
      <c r="AE37" s="211"/>
      <c r="AF37" s="211"/>
      <c r="AG37" s="211"/>
      <c r="AH37" s="176"/>
      <c r="AI37" s="176"/>
      <c r="AJ37" s="176"/>
      <c r="AK37" s="176"/>
      <c r="AL37" s="176"/>
    </row>
    <row r="38" spans="1:38" x14ac:dyDescent="0.2">
      <c r="A38" s="211"/>
      <c r="B38" s="211"/>
      <c r="C38" s="211"/>
      <c r="D38" s="211"/>
      <c r="E38" s="211"/>
      <c r="F38" s="211"/>
      <c r="G38" s="211"/>
      <c r="H38" s="211"/>
      <c r="I38" s="211"/>
      <c r="J38" s="211"/>
      <c r="K38" s="211"/>
      <c r="L38" s="211"/>
      <c r="M38" s="211"/>
      <c r="N38" s="211"/>
      <c r="O38" s="211"/>
      <c r="P38" s="211"/>
      <c r="Q38" s="211"/>
      <c r="R38" s="211"/>
      <c r="S38" s="211"/>
      <c r="T38" s="211"/>
      <c r="U38" s="176"/>
      <c r="V38" s="176"/>
      <c r="W38" s="176"/>
      <c r="X38" s="176"/>
      <c r="Y38" s="176"/>
      <c r="Z38" s="176"/>
      <c r="AA38" s="176"/>
      <c r="AB38" s="176"/>
      <c r="AC38" s="176"/>
      <c r="AD38" s="211"/>
      <c r="AE38" s="211"/>
      <c r="AF38" s="211"/>
      <c r="AG38" s="211"/>
      <c r="AH38" s="176"/>
      <c r="AI38" s="176"/>
      <c r="AJ38" s="176"/>
      <c r="AK38" s="176"/>
      <c r="AL38" s="176"/>
    </row>
    <row r="39" spans="1:38" x14ac:dyDescent="0.2">
      <c r="A39" s="211"/>
      <c r="B39" s="211"/>
      <c r="C39" s="211"/>
      <c r="D39" s="211"/>
      <c r="E39" s="211"/>
      <c r="F39" s="211"/>
      <c r="G39" s="211"/>
      <c r="H39" s="211"/>
      <c r="I39" s="211"/>
      <c r="J39" s="211"/>
      <c r="K39" s="211"/>
      <c r="L39" s="211"/>
      <c r="M39" s="211"/>
      <c r="N39" s="211"/>
      <c r="O39" s="211"/>
      <c r="P39" s="211"/>
      <c r="Q39" s="211"/>
      <c r="R39" s="211"/>
      <c r="S39" s="211"/>
      <c r="T39" s="211"/>
      <c r="U39" s="176"/>
      <c r="V39" s="176"/>
      <c r="W39" s="176"/>
      <c r="X39" s="176"/>
      <c r="Y39" s="176"/>
      <c r="Z39" s="176"/>
      <c r="AA39" s="176"/>
      <c r="AB39" s="176"/>
      <c r="AC39" s="176"/>
      <c r="AD39" s="211"/>
      <c r="AE39" s="211"/>
      <c r="AF39" s="211"/>
      <c r="AG39" s="211"/>
      <c r="AH39" s="176"/>
      <c r="AI39" s="176"/>
      <c r="AJ39" s="176"/>
      <c r="AK39" s="176"/>
      <c r="AL39" s="176"/>
    </row>
    <row r="40" spans="1:38" x14ac:dyDescent="0.2">
      <c r="A40" s="211"/>
      <c r="B40" s="211"/>
      <c r="C40" s="211"/>
      <c r="D40" s="211"/>
      <c r="E40" s="211"/>
      <c r="F40" s="211"/>
      <c r="G40" s="211"/>
      <c r="H40" s="211"/>
      <c r="I40" s="211"/>
      <c r="J40" s="211"/>
      <c r="K40" s="211"/>
      <c r="L40" s="211"/>
      <c r="M40" s="211"/>
      <c r="N40" s="211"/>
      <c r="O40" s="211"/>
      <c r="P40" s="211"/>
      <c r="Q40" s="211"/>
      <c r="R40" s="211"/>
      <c r="S40" s="211"/>
      <c r="T40" s="211"/>
      <c r="U40" s="176"/>
      <c r="V40" s="176"/>
      <c r="W40" s="176"/>
      <c r="X40" s="176"/>
      <c r="Y40" s="176"/>
      <c r="Z40" s="176"/>
      <c r="AA40" s="176"/>
      <c r="AB40" s="176"/>
      <c r="AC40" s="176"/>
      <c r="AD40" s="211"/>
      <c r="AE40" s="211"/>
      <c r="AF40" s="211"/>
      <c r="AG40" s="211"/>
      <c r="AH40" s="176"/>
      <c r="AI40" s="176"/>
      <c r="AJ40" s="176"/>
      <c r="AK40" s="176"/>
      <c r="AL40" s="176"/>
    </row>
    <row r="41" spans="1:38" x14ac:dyDescent="0.2">
      <c r="A41" s="211"/>
      <c r="B41" s="211"/>
      <c r="C41" s="211"/>
      <c r="D41" s="211"/>
      <c r="E41" s="211"/>
      <c r="F41" s="211"/>
      <c r="G41" s="211"/>
      <c r="H41" s="211"/>
      <c r="I41" s="211"/>
      <c r="J41" s="211"/>
      <c r="K41" s="211"/>
      <c r="L41" s="211"/>
      <c r="M41" s="211"/>
      <c r="N41" s="211"/>
      <c r="O41" s="211"/>
      <c r="P41" s="211"/>
      <c r="Q41" s="211"/>
      <c r="R41" s="211"/>
      <c r="S41" s="211"/>
      <c r="T41" s="211"/>
      <c r="U41" s="176"/>
      <c r="V41" s="176"/>
      <c r="W41" s="176"/>
      <c r="X41" s="176"/>
      <c r="Y41" s="176"/>
      <c r="Z41" s="176"/>
      <c r="AA41" s="176"/>
      <c r="AB41" s="176"/>
      <c r="AC41" s="176"/>
      <c r="AD41" s="211"/>
      <c r="AE41" s="211"/>
      <c r="AF41" s="211"/>
      <c r="AG41" s="211"/>
      <c r="AH41" s="176"/>
      <c r="AI41" s="176"/>
      <c r="AJ41" s="176"/>
      <c r="AK41" s="176"/>
      <c r="AL41" s="176"/>
    </row>
    <row r="42" spans="1:38" x14ac:dyDescent="0.2">
      <c r="A42" s="211"/>
      <c r="B42" s="211"/>
      <c r="C42" s="211"/>
      <c r="D42" s="211"/>
      <c r="E42" s="211"/>
      <c r="F42" s="211"/>
      <c r="G42" s="211"/>
      <c r="H42" s="211"/>
      <c r="I42" s="211"/>
      <c r="J42" s="211"/>
      <c r="K42" s="211"/>
      <c r="L42" s="211"/>
      <c r="M42" s="211"/>
      <c r="N42" s="211"/>
      <c r="O42" s="211"/>
      <c r="P42" s="211"/>
      <c r="Q42" s="211"/>
      <c r="R42" s="211"/>
      <c r="S42" s="211"/>
      <c r="T42" s="211"/>
      <c r="U42" s="176"/>
      <c r="V42" s="176"/>
      <c r="W42" s="176"/>
      <c r="X42" s="176"/>
      <c r="Y42" s="176"/>
      <c r="Z42" s="176"/>
      <c r="AA42" s="176"/>
      <c r="AB42" s="176"/>
      <c r="AC42" s="176"/>
      <c r="AD42" s="211"/>
      <c r="AE42" s="211"/>
      <c r="AF42" s="211"/>
      <c r="AG42" s="211"/>
      <c r="AH42" s="176"/>
      <c r="AI42" s="176"/>
      <c r="AJ42" s="176"/>
      <c r="AK42" s="176"/>
      <c r="AL42" s="176"/>
    </row>
    <row r="43" spans="1:38" x14ac:dyDescent="0.2">
      <c r="A43" s="211"/>
      <c r="B43" s="211"/>
      <c r="C43" s="211"/>
      <c r="D43" s="211"/>
      <c r="E43" s="211"/>
      <c r="F43" s="211"/>
      <c r="G43" s="211"/>
      <c r="H43" s="211"/>
      <c r="I43" s="211"/>
      <c r="J43" s="211"/>
      <c r="K43" s="211"/>
      <c r="L43" s="211"/>
      <c r="M43" s="211"/>
      <c r="N43" s="211"/>
      <c r="O43" s="211"/>
      <c r="P43" s="211"/>
      <c r="Q43" s="211"/>
      <c r="R43" s="211"/>
      <c r="S43" s="211"/>
      <c r="T43" s="211"/>
      <c r="U43" s="176"/>
      <c r="V43" s="176"/>
      <c r="W43" s="176"/>
      <c r="X43" s="176"/>
      <c r="Y43" s="176"/>
      <c r="Z43" s="176"/>
      <c r="AA43" s="176"/>
      <c r="AB43" s="176"/>
      <c r="AC43" s="176"/>
      <c r="AD43" s="211"/>
      <c r="AE43" s="211"/>
      <c r="AF43" s="211"/>
      <c r="AG43" s="211"/>
      <c r="AH43" s="176"/>
      <c r="AI43" s="176"/>
      <c r="AJ43" s="176"/>
      <c r="AK43" s="176"/>
      <c r="AL43" s="176"/>
    </row>
    <row r="44" spans="1:38" x14ac:dyDescent="0.2">
      <c r="A44" s="211"/>
      <c r="B44" s="211"/>
      <c r="C44" s="211"/>
      <c r="D44" s="211"/>
      <c r="E44" s="211"/>
      <c r="F44" s="211"/>
      <c r="G44" s="211"/>
      <c r="H44" s="211"/>
      <c r="I44" s="211"/>
      <c r="J44" s="211"/>
      <c r="K44" s="211"/>
      <c r="L44" s="211"/>
      <c r="M44" s="211"/>
      <c r="N44" s="211"/>
      <c r="O44" s="211"/>
      <c r="P44" s="211"/>
      <c r="Q44" s="211"/>
      <c r="R44" s="211"/>
      <c r="S44" s="211"/>
      <c r="T44" s="211"/>
      <c r="U44" s="176"/>
      <c r="V44" s="176"/>
      <c r="W44" s="176"/>
      <c r="X44" s="176"/>
      <c r="Y44" s="176"/>
      <c r="Z44" s="176"/>
      <c r="AA44" s="176"/>
      <c r="AB44" s="176"/>
      <c r="AC44" s="176"/>
      <c r="AD44" s="211"/>
      <c r="AE44" s="211"/>
      <c r="AF44" s="211"/>
      <c r="AG44" s="211"/>
      <c r="AH44" s="176"/>
      <c r="AI44" s="176"/>
      <c r="AJ44" s="176"/>
      <c r="AK44" s="176"/>
      <c r="AL44" s="176"/>
    </row>
    <row r="45" spans="1:38" x14ac:dyDescent="0.2">
      <c r="A45" s="211"/>
      <c r="B45" s="211"/>
      <c r="C45" s="211"/>
      <c r="D45" s="211"/>
      <c r="E45" s="211"/>
      <c r="F45" s="211"/>
      <c r="G45" s="211"/>
      <c r="H45" s="211"/>
      <c r="I45" s="211"/>
      <c r="J45" s="211"/>
      <c r="K45" s="211"/>
      <c r="L45" s="211"/>
      <c r="M45" s="211"/>
      <c r="N45" s="211"/>
      <c r="O45" s="211"/>
      <c r="P45" s="211"/>
      <c r="Q45" s="211"/>
      <c r="R45" s="211"/>
      <c r="S45" s="211"/>
      <c r="T45" s="211"/>
      <c r="U45" s="176"/>
      <c r="V45" s="176"/>
      <c r="W45" s="176"/>
      <c r="X45" s="176"/>
      <c r="Y45" s="176"/>
      <c r="Z45" s="176"/>
      <c r="AA45" s="176"/>
      <c r="AB45" s="176"/>
      <c r="AC45" s="176"/>
      <c r="AD45" s="211"/>
      <c r="AE45" s="211"/>
      <c r="AF45" s="211"/>
      <c r="AG45" s="211"/>
      <c r="AH45" s="176"/>
      <c r="AI45" s="176"/>
      <c r="AJ45" s="176"/>
      <c r="AK45" s="176"/>
      <c r="AL45" s="176"/>
    </row>
    <row r="46" spans="1:38" x14ac:dyDescent="0.2">
      <c r="A46" s="211"/>
      <c r="B46" s="211"/>
      <c r="C46" s="211"/>
      <c r="D46" s="211"/>
      <c r="E46" s="211"/>
      <c r="F46" s="211"/>
      <c r="G46" s="211"/>
      <c r="H46" s="211"/>
      <c r="I46" s="211"/>
      <c r="J46" s="211"/>
      <c r="K46" s="211"/>
      <c r="L46" s="211"/>
      <c r="M46" s="211"/>
      <c r="N46" s="211"/>
      <c r="O46" s="211"/>
      <c r="P46" s="211"/>
      <c r="Q46" s="211"/>
      <c r="R46" s="211"/>
      <c r="S46" s="211"/>
      <c r="T46" s="211"/>
      <c r="U46" s="176"/>
      <c r="V46" s="176"/>
      <c r="W46" s="176"/>
      <c r="X46" s="176"/>
      <c r="Y46" s="176"/>
      <c r="Z46" s="176"/>
      <c r="AA46" s="176"/>
      <c r="AB46" s="176"/>
      <c r="AC46" s="176"/>
      <c r="AD46" s="211"/>
      <c r="AE46" s="211"/>
      <c r="AF46" s="211"/>
      <c r="AG46" s="211"/>
      <c r="AH46" s="176"/>
      <c r="AI46" s="176"/>
      <c r="AJ46" s="176"/>
      <c r="AK46" s="176"/>
      <c r="AL46" s="176"/>
    </row>
    <row r="47" spans="1:38" x14ac:dyDescent="0.2">
      <c r="A47" s="211"/>
      <c r="B47" s="211"/>
      <c r="C47" s="211"/>
      <c r="D47" s="211"/>
      <c r="E47" s="211"/>
      <c r="F47" s="211"/>
      <c r="G47" s="211"/>
      <c r="H47" s="211"/>
      <c r="I47" s="211"/>
      <c r="J47" s="211"/>
      <c r="K47" s="211"/>
      <c r="L47" s="211"/>
      <c r="M47" s="211"/>
      <c r="N47" s="211"/>
      <c r="O47" s="211"/>
      <c r="P47" s="211"/>
      <c r="Q47" s="211"/>
      <c r="R47" s="211"/>
      <c r="S47" s="211"/>
      <c r="T47" s="211"/>
      <c r="U47" s="176"/>
      <c r="V47" s="176"/>
      <c r="W47" s="176"/>
      <c r="X47" s="176"/>
      <c r="Y47" s="176"/>
      <c r="Z47" s="176"/>
      <c r="AA47" s="176"/>
      <c r="AB47" s="176"/>
      <c r="AC47" s="176"/>
      <c r="AD47" s="211"/>
      <c r="AE47" s="211"/>
      <c r="AF47" s="211"/>
      <c r="AG47" s="211"/>
      <c r="AH47" s="176"/>
      <c r="AI47" s="176"/>
      <c r="AJ47" s="176"/>
      <c r="AK47" s="176"/>
      <c r="AL47" s="176"/>
    </row>
    <row r="48" spans="1:38" x14ac:dyDescent="0.2">
      <c r="A48" s="211"/>
      <c r="B48" s="211"/>
      <c r="C48" s="211"/>
      <c r="D48" s="211"/>
      <c r="E48" s="211"/>
      <c r="F48" s="211"/>
      <c r="G48" s="211"/>
      <c r="H48" s="211"/>
      <c r="I48" s="211"/>
      <c r="J48" s="211"/>
      <c r="K48" s="211"/>
      <c r="L48" s="211"/>
      <c r="M48" s="211"/>
      <c r="N48" s="211"/>
      <c r="O48" s="211"/>
      <c r="P48" s="211"/>
      <c r="Q48" s="211"/>
      <c r="R48" s="211"/>
      <c r="S48" s="211"/>
      <c r="T48" s="211"/>
      <c r="U48" s="176"/>
      <c r="V48" s="176"/>
      <c r="W48" s="176"/>
      <c r="X48" s="176"/>
      <c r="Y48" s="176"/>
      <c r="Z48" s="176"/>
      <c r="AA48" s="176"/>
      <c r="AB48" s="176"/>
      <c r="AC48" s="176"/>
      <c r="AD48" s="211"/>
      <c r="AE48" s="211"/>
      <c r="AF48" s="211"/>
      <c r="AG48" s="211"/>
      <c r="AH48" s="176"/>
      <c r="AI48" s="176"/>
      <c r="AJ48" s="176"/>
      <c r="AK48" s="176"/>
      <c r="AL48" s="176"/>
    </row>
    <row r="49" spans="1:38" x14ac:dyDescent="0.2">
      <c r="A49" s="211"/>
      <c r="B49" s="211"/>
      <c r="C49" s="211"/>
      <c r="D49" s="211"/>
      <c r="E49" s="211"/>
      <c r="F49" s="211"/>
      <c r="G49" s="211"/>
      <c r="H49" s="211"/>
      <c r="I49" s="211"/>
      <c r="J49" s="211"/>
      <c r="K49" s="211"/>
      <c r="L49" s="211"/>
      <c r="M49" s="211"/>
      <c r="N49" s="211"/>
      <c r="O49" s="211"/>
      <c r="P49" s="211"/>
      <c r="Q49" s="211"/>
      <c r="R49" s="211"/>
      <c r="S49" s="211"/>
      <c r="T49" s="211"/>
      <c r="U49" s="176"/>
      <c r="V49" s="176"/>
      <c r="W49" s="176"/>
      <c r="X49" s="176"/>
      <c r="Y49" s="176"/>
      <c r="Z49" s="176"/>
      <c r="AA49" s="176"/>
      <c r="AB49" s="176"/>
      <c r="AC49" s="176"/>
      <c r="AD49" s="211"/>
      <c r="AE49" s="211"/>
      <c r="AF49" s="211"/>
      <c r="AG49" s="211"/>
      <c r="AH49" s="176"/>
      <c r="AI49" s="176"/>
      <c r="AJ49" s="176"/>
      <c r="AK49" s="176"/>
      <c r="AL49" s="176"/>
    </row>
    <row r="50" spans="1:38" x14ac:dyDescent="0.2">
      <c r="A50" s="211"/>
      <c r="B50" s="211"/>
      <c r="C50" s="211"/>
      <c r="D50" s="211"/>
      <c r="E50" s="211"/>
      <c r="F50" s="211"/>
      <c r="G50" s="211"/>
      <c r="H50" s="211"/>
      <c r="I50" s="211"/>
      <c r="J50" s="211"/>
      <c r="K50" s="211"/>
      <c r="L50" s="211"/>
      <c r="M50" s="211"/>
      <c r="N50" s="211"/>
      <c r="O50" s="211"/>
      <c r="P50" s="211"/>
      <c r="Q50" s="211"/>
      <c r="R50" s="211"/>
      <c r="S50" s="211"/>
      <c r="T50" s="211"/>
      <c r="U50" s="176"/>
      <c r="V50" s="176"/>
      <c r="W50" s="176"/>
      <c r="X50" s="176"/>
      <c r="Y50" s="176"/>
      <c r="Z50" s="176"/>
      <c r="AA50" s="176"/>
      <c r="AB50" s="176"/>
      <c r="AC50" s="176"/>
      <c r="AD50" s="211"/>
      <c r="AE50" s="211"/>
      <c r="AF50" s="211"/>
      <c r="AG50" s="211"/>
      <c r="AH50" s="176"/>
      <c r="AI50" s="176"/>
      <c r="AJ50" s="176"/>
      <c r="AK50" s="176"/>
      <c r="AL50" s="176"/>
    </row>
    <row r="51" spans="1:38" x14ac:dyDescent="0.2">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211"/>
      <c r="AE51" s="211"/>
      <c r="AF51" s="211"/>
      <c r="AG51" s="211"/>
      <c r="AH51" s="176"/>
      <c r="AI51" s="176"/>
      <c r="AJ51" s="176"/>
      <c r="AK51" s="176"/>
      <c r="AL51" s="176"/>
    </row>
    <row r="52" spans="1:38" x14ac:dyDescent="0.2">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S80"/>
  <sheetViews>
    <sheetView workbookViewId="0"/>
  </sheetViews>
  <sheetFormatPr defaultRowHeight="15" x14ac:dyDescent="0.25"/>
  <cols>
    <col min="20" max="25" width="9.140625" style="234"/>
    <col min="26" max="26" width="10.140625" style="234" bestFit="1" customWidth="1"/>
    <col min="27" max="27" width="12.140625" style="234" bestFit="1" customWidth="1"/>
    <col min="28" max="28" width="9.28515625" style="234" bestFit="1" customWidth="1"/>
    <col min="29" max="30" width="9.140625" style="234"/>
    <col min="31" max="31" width="12.140625" style="234" bestFit="1" customWidth="1"/>
    <col min="32" max="32" width="10.140625" style="234" bestFit="1" customWidth="1"/>
    <col min="33" max="34" width="9.28515625" style="234" bestFit="1" customWidth="1"/>
    <col min="35" max="35" width="12" style="234" bestFit="1" customWidth="1"/>
    <col min="36" max="36" width="9.28515625" style="234" bestFit="1" customWidth="1"/>
    <col min="37" max="37" width="12.140625" style="234" bestFit="1" customWidth="1"/>
    <col min="38" max="38" width="12" style="234" bestFit="1" customWidth="1"/>
    <col min="39" max="40" width="9.28515625" style="234" bestFit="1" customWidth="1"/>
    <col min="41" max="41" width="12" style="234" bestFit="1" customWidth="1"/>
    <col min="42" max="42" width="9.28515625" style="234" bestFit="1" customWidth="1"/>
    <col min="43" max="43" width="9.28515625" style="235" bestFit="1" customWidth="1"/>
    <col min="44" max="44" width="12" style="235" bestFit="1" customWidth="1"/>
    <col min="45" max="45" width="9.28515625" style="235" bestFit="1" customWidth="1"/>
  </cols>
  <sheetData>
    <row r="1" spans="2:45" ht="15" customHeight="1" x14ac:dyDescent="0.25">
      <c r="T1" s="444"/>
      <c r="U1" s="444"/>
      <c r="V1" s="444"/>
      <c r="W1" s="444"/>
      <c r="X1" s="444"/>
      <c r="Y1" s="444" t="s">
        <v>24</v>
      </c>
      <c r="Z1" s="444"/>
      <c r="AA1" s="444">
        <f>F39*1000</f>
        <v>0</v>
      </c>
      <c r="AB1" s="444" t="s">
        <v>12</v>
      </c>
      <c r="AC1" s="444"/>
      <c r="AD1" s="444"/>
      <c r="AE1" s="444"/>
      <c r="AF1" s="444">
        <v>1</v>
      </c>
      <c r="AG1" s="444" t="s">
        <v>197</v>
      </c>
      <c r="AH1" s="448">
        <v>1</v>
      </c>
      <c r="AI1" s="448">
        <v>70000000000</v>
      </c>
      <c r="AJ1" s="444"/>
      <c r="AK1" s="444">
        <v>2</v>
      </c>
      <c r="AL1" s="448">
        <v>70000000000</v>
      </c>
      <c r="AM1" s="444"/>
      <c r="AN1" s="444">
        <v>3</v>
      </c>
      <c r="AO1" s="448">
        <v>70000000000</v>
      </c>
      <c r="AP1" s="444"/>
      <c r="AQ1" s="443"/>
      <c r="AR1" s="455"/>
      <c r="AS1" s="443"/>
    </row>
    <row r="2" spans="2:45" ht="15" customHeight="1" x14ac:dyDescent="0.25">
      <c r="B2" s="2"/>
      <c r="C2" s="3"/>
      <c r="D2" s="3"/>
      <c r="E2" s="3"/>
      <c r="F2" s="3"/>
      <c r="G2" s="3"/>
      <c r="H2" s="3"/>
      <c r="I2" s="3"/>
      <c r="J2" s="3"/>
      <c r="K2" s="3"/>
      <c r="L2" s="3"/>
      <c r="M2" s="3"/>
      <c r="N2" s="3"/>
      <c r="O2" s="3"/>
      <c r="P2" s="3"/>
      <c r="Q2" s="3"/>
      <c r="R2" s="3"/>
      <c r="S2" s="4"/>
      <c r="T2" s="444"/>
      <c r="U2" s="444"/>
      <c r="V2" s="444"/>
      <c r="W2" s="444"/>
      <c r="X2" s="444"/>
      <c r="Y2" s="444" t="s">
        <v>3</v>
      </c>
      <c r="Z2" s="444"/>
      <c r="AA2" s="444">
        <f>Q43*1000</f>
        <v>0</v>
      </c>
      <c r="AB2" s="444" t="s">
        <v>12</v>
      </c>
      <c r="AC2" s="444"/>
      <c r="AD2" s="444"/>
      <c r="AE2" s="444" t="s">
        <v>212</v>
      </c>
      <c r="AF2" s="444">
        <v>2</v>
      </c>
      <c r="AG2" s="444" t="s">
        <v>217</v>
      </c>
      <c r="AH2" s="445" t="s">
        <v>25</v>
      </c>
      <c r="AI2" s="445">
        <f>IF(AA5&lt;1.5,18.95,IF(AA5&lt;2,21.9,IF(AA5&lt;2.5,23.67,IF(AA5&lt;3,24.77,25.49))))</f>
        <v>18.95</v>
      </c>
      <c r="AJ2" s="444">
        <v>7.42</v>
      </c>
      <c r="AK2" s="445" t="s">
        <v>34</v>
      </c>
      <c r="AL2" s="445">
        <f>IF(AB5&lt;1.5,34.69,IF(AB5&lt;2,40.47,IF(AB5&lt;2.5,44.09,IF(AB5&lt;3,46.42,47.97))))</f>
        <v>47.97</v>
      </c>
      <c r="AM2" s="444">
        <v>8.86</v>
      </c>
      <c r="AN2" s="447" t="s">
        <v>44</v>
      </c>
      <c r="AO2" s="29">
        <f>IF(AC5&lt;1.5,75.58,IF(AC5&lt;2,86.76,IF(AC5&lt;2.5,94.03,IF(AC5&lt;3,98.82,102.07))))</f>
        <v>75.58</v>
      </c>
      <c r="AP2" s="444">
        <v>12.66</v>
      </c>
      <c r="AQ2" s="443"/>
      <c r="AR2" s="236"/>
      <c r="AS2" s="443"/>
    </row>
    <row r="3" spans="2:45" ht="15" customHeight="1" x14ac:dyDescent="0.25">
      <c r="B3" s="5"/>
      <c r="C3" s="11"/>
      <c r="D3" s="11"/>
      <c r="E3" s="11"/>
      <c r="F3" s="11"/>
      <c r="G3" s="11"/>
      <c r="H3" s="11"/>
      <c r="I3" s="11"/>
      <c r="J3" s="11"/>
      <c r="K3" s="237"/>
      <c r="L3" s="6"/>
      <c r="M3" s="6"/>
      <c r="N3" s="6"/>
      <c r="O3" s="6"/>
      <c r="P3" s="11"/>
      <c r="Q3" s="11"/>
      <c r="R3" s="11"/>
      <c r="S3" s="8"/>
      <c r="T3" s="444"/>
      <c r="U3" s="444"/>
      <c r="V3" s="444"/>
      <c r="W3" s="444"/>
      <c r="X3" s="444"/>
      <c r="Y3" s="444" t="s">
        <v>0</v>
      </c>
      <c r="Z3" s="444"/>
      <c r="AA3" s="444">
        <f>F43/1000</f>
        <v>0</v>
      </c>
      <c r="AB3" s="444" t="s">
        <v>4</v>
      </c>
      <c r="AC3" s="444"/>
      <c r="AD3" s="444"/>
      <c r="AE3" s="444"/>
      <c r="AF3" s="444">
        <v>3</v>
      </c>
      <c r="AG3" s="444" t="s">
        <v>218</v>
      </c>
      <c r="AH3" s="445" t="s">
        <v>26</v>
      </c>
      <c r="AI3" s="445">
        <f>IF(AA5&lt;1.5,20.1,IF(AA5&lt;2,23.43,IF(AA5&lt;2.5,25.46,IF(AA5&lt;3,26.74,27.58))))</f>
        <v>20.100000000000001</v>
      </c>
      <c r="AJ3" s="444">
        <v>9.73</v>
      </c>
      <c r="AK3" s="445" t="s">
        <v>35</v>
      </c>
      <c r="AL3" s="445">
        <f>IF(AB5&lt;1.5,37.41,IF(AB5&lt;2,43.97,IF(AB5&lt;2.5,48.15,IF(AB5&lt;3,50.87,52.71))))</f>
        <v>52.71</v>
      </c>
      <c r="AM3" s="444">
        <v>11.98</v>
      </c>
      <c r="AN3" s="447" t="s">
        <v>45</v>
      </c>
      <c r="AO3" s="29">
        <f>IF(AC5&lt;1.5,84.04,IF(AC5&lt;2,97.51,IF(AC5&lt;2.5,106.38,IF(AC5&lt;3,112.27,116.29))))</f>
        <v>84.04</v>
      </c>
      <c r="AP3" s="444">
        <v>13.36</v>
      </c>
      <c r="AQ3" s="443"/>
      <c r="AR3" s="443"/>
      <c r="AS3" s="443"/>
    </row>
    <row r="4" spans="2:45" ht="15" customHeight="1" x14ac:dyDescent="0.25">
      <c r="B4" s="5"/>
      <c r="C4" s="11"/>
      <c r="D4" s="11"/>
      <c r="E4" s="11"/>
      <c r="F4" s="11"/>
      <c r="G4" s="11"/>
      <c r="H4" s="11"/>
      <c r="I4" s="11"/>
      <c r="J4" s="11"/>
      <c r="K4" s="237"/>
      <c r="L4" s="6"/>
      <c r="M4" s="6"/>
      <c r="N4" s="6"/>
      <c r="O4" s="6"/>
      <c r="P4" s="6"/>
      <c r="Q4" s="6"/>
      <c r="R4" s="6"/>
      <c r="S4" s="28"/>
      <c r="T4" s="444"/>
      <c r="U4" s="444"/>
      <c r="V4" s="444"/>
      <c r="W4" s="444"/>
      <c r="X4" s="444"/>
      <c r="Y4" s="444" t="s">
        <v>1</v>
      </c>
      <c r="Z4" s="444"/>
      <c r="AA4" s="444">
        <f>F45/1000</f>
        <v>0</v>
      </c>
      <c r="AB4" s="444" t="s">
        <v>4</v>
      </c>
      <c r="AC4" s="444"/>
      <c r="AD4" s="444"/>
      <c r="AE4" s="444"/>
      <c r="AF4" s="444"/>
      <c r="AG4" s="444"/>
      <c r="AH4" s="445" t="s">
        <v>27</v>
      </c>
      <c r="AI4" s="445">
        <f>IF(AA5&lt;1.5,21.18,IF(AA5&lt;2,24.86,IF(AA5&lt;2.5,27.13,IF(AA5&lt;3,28.58,29.54))))</f>
        <v>21.18</v>
      </c>
      <c r="AJ4" s="444">
        <v>12.42</v>
      </c>
      <c r="AK4" s="445" t="s">
        <v>36</v>
      </c>
      <c r="AL4" s="445">
        <f>IF(AB5&lt;1.5,59.3,IF(AB5&lt;2,67.54,IF(AB5&lt;2.5,72.75,IF(AB5&lt;3,76.12,78.38))))</f>
        <v>78.38</v>
      </c>
      <c r="AM4" s="444">
        <v>9.8699999999999992</v>
      </c>
      <c r="AN4" s="444"/>
      <c r="AO4" s="444"/>
      <c r="AP4" s="444"/>
      <c r="AQ4" s="443"/>
      <c r="AR4" s="443"/>
      <c r="AS4" s="443"/>
    </row>
    <row r="5" spans="2:45" ht="15" customHeight="1" x14ac:dyDescent="0.25">
      <c r="B5" s="5"/>
      <c r="C5" s="11"/>
      <c r="D5" s="11"/>
      <c r="E5" s="11"/>
      <c r="F5" s="11"/>
      <c r="G5" s="11"/>
      <c r="H5" s="11"/>
      <c r="I5" s="11"/>
      <c r="J5" s="11"/>
      <c r="K5" s="237"/>
      <c r="L5" s="6"/>
      <c r="M5" s="6"/>
      <c r="N5" s="6"/>
      <c r="O5" s="6"/>
      <c r="P5" s="6"/>
      <c r="Q5" s="6"/>
      <c r="R5" s="6"/>
      <c r="S5" s="28"/>
      <c r="T5" s="444"/>
      <c r="U5" s="444"/>
      <c r="V5" s="444"/>
      <c r="W5" s="444"/>
      <c r="X5" s="444"/>
      <c r="Y5" s="444" t="s">
        <v>2</v>
      </c>
      <c r="Z5" s="444"/>
      <c r="AA5" s="444">
        <f>F47/1000</f>
        <v>0</v>
      </c>
      <c r="AB5" s="444" t="s">
        <v>4</v>
      </c>
      <c r="AC5" s="444"/>
      <c r="AD5" s="444"/>
      <c r="AE5" s="444"/>
      <c r="AF5" s="444"/>
      <c r="AG5" s="444"/>
      <c r="AH5" s="445" t="s">
        <v>28</v>
      </c>
      <c r="AI5" s="445">
        <f>IF(AA5&lt;1.5,23.96,IF(AA5&lt;2,28.93,IF(AA5&lt;2.5,32.22,IF(AA5&lt;3,34.41,35.91))))</f>
        <v>23.96</v>
      </c>
      <c r="AJ5" s="444">
        <v>27.47</v>
      </c>
      <c r="AK5" s="445" t="s">
        <v>37</v>
      </c>
      <c r="AL5" s="445">
        <f>IF(AB5&lt;1.5,64.48,IF(AB5&lt;2,73.78,IF(AB5&lt;2.5,79.79,IF(AB5&lt;3,83.73,86.39))))</f>
        <v>86.39</v>
      </c>
      <c r="AM5" s="444">
        <v>13.46</v>
      </c>
      <c r="AN5" s="444"/>
      <c r="AO5" s="444"/>
      <c r="AP5" s="444"/>
      <c r="AQ5" s="443"/>
      <c r="AR5" s="443"/>
      <c r="AS5" s="443"/>
    </row>
    <row r="6" spans="2:45" ht="15" customHeight="1" x14ac:dyDescent="0.25">
      <c r="B6" s="5"/>
      <c r="C6" s="11"/>
      <c r="D6" s="11"/>
      <c r="E6" s="11"/>
      <c r="F6" s="11"/>
      <c r="G6" s="11"/>
      <c r="H6" s="11"/>
      <c r="I6" s="11"/>
      <c r="J6" s="11"/>
      <c r="K6" s="6"/>
      <c r="L6" s="6"/>
      <c r="M6" s="6"/>
      <c r="N6" s="6"/>
      <c r="O6" s="6"/>
      <c r="P6" s="6"/>
      <c r="Q6" s="6"/>
      <c r="R6" s="6"/>
      <c r="S6" s="28"/>
      <c r="T6" s="444"/>
      <c r="U6" s="444"/>
      <c r="V6" s="444"/>
      <c r="W6" s="444"/>
      <c r="X6" s="444"/>
      <c r="Y6" s="444" t="s">
        <v>213</v>
      </c>
      <c r="Z6" s="444"/>
      <c r="AA6" s="444">
        <f>F49/1000</f>
        <v>0.05</v>
      </c>
      <c r="AB6" s="444" t="s">
        <v>4</v>
      </c>
      <c r="AC6" s="444"/>
      <c r="AD6" s="444"/>
      <c r="AE6" s="444"/>
      <c r="AF6" s="444"/>
      <c r="AG6" s="444"/>
      <c r="AH6" s="444"/>
      <c r="AI6" s="444"/>
      <c r="AJ6" s="444"/>
      <c r="AK6" s="445" t="s">
        <v>38</v>
      </c>
      <c r="AL6" s="445">
        <f>IF(AB5&lt;1.5,77.82,IF(AB5&lt;2,90.55,IF(AB5&lt;2.5,99.49,IF(AB5&lt;3,105.68,110.04))))</f>
        <v>110.04</v>
      </c>
      <c r="AM6" s="444">
        <v>35</v>
      </c>
      <c r="AN6" s="444"/>
      <c r="AO6" s="444"/>
      <c r="AP6" s="444"/>
      <c r="AQ6" s="443"/>
      <c r="AR6" s="443"/>
      <c r="AS6" s="443"/>
    </row>
    <row r="7" spans="2:45" ht="15" customHeight="1" x14ac:dyDescent="0.25">
      <c r="B7" s="5"/>
      <c r="C7" s="33"/>
      <c r="D7" s="76"/>
      <c r="E7" s="76"/>
      <c r="F7" s="76"/>
      <c r="G7" s="76"/>
      <c r="H7" s="76"/>
      <c r="I7" s="76"/>
      <c r="J7" s="76"/>
      <c r="K7" s="6"/>
      <c r="L7" s="6"/>
      <c r="M7" s="6"/>
      <c r="N7" s="6"/>
      <c r="O7" s="6"/>
      <c r="P7" s="6"/>
      <c r="Q7" s="6"/>
      <c r="R7" s="6"/>
      <c r="S7" s="28"/>
      <c r="T7" s="444"/>
      <c r="U7" s="444"/>
      <c r="V7" s="444"/>
      <c r="W7" s="444"/>
      <c r="X7" s="444"/>
      <c r="Y7" s="444" t="s">
        <v>5</v>
      </c>
      <c r="Z7" s="444"/>
      <c r="AA7" s="444">
        <f>IF(AA5/175&lt;0.015,AA5/175,0.015)</f>
        <v>0</v>
      </c>
      <c r="AB7" s="444" t="s">
        <v>4</v>
      </c>
      <c r="AC7" s="444"/>
      <c r="AD7" s="444"/>
      <c r="AE7" s="444"/>
      <c r="AF7" s="444"/>
      <c r="AG7" s="444">
        <f>IF(AG1=J49,1,IF(AG2=J49,2,3))</f>
        <v>1</v>
      </c>
      <c r="AH7" s="444"/>
      <c r="AI7" s="444"/>
      <c r="AJ7" s="444"/>
      <c r="AK7" s="445" t="s">
        <v>39</v>
      </c>
      <c r="AL7" s="445">
        <f>IF(AB5&lt;1.5,79.52,IF(AB5&lt;2,92.65,IF(AB5&lt;2.5,101.67,IF(AB5&lt;3,108.27,112.76))))</f>
        <v>112.76</v>
      </c>
      <c r="AM7" s="444">
        <v>27.55</v>
      </c>
      <c r="AN7" s="444"/>
      <c r="AO7" s="444"/>
      <c r="AP7" s="444"/>
      <c r="AQ7" s="443"/>
      <c r="AR7" s="443"/>
      <c r="AS7" s="443"/>
    </row>
    <row r="8" spans="2:45" ht="15" customHeight="1" x14ac:dyDescent="0.25">
      <c r="B8" s="5"/>
      <c r="C8" s="10"/>
      <c r="D8" s="76"/>
      <c r="E8" s="76"/>
      <c r="F8" s="76"/>
      <c r="G8" s="76"/>
      <c r="H8" s="76"/>
      <c r="I8" s="76"/>
      <c r="J8" s="76"/>
      <c r="K8" s="6"/>
      <c r="L8" s="6"/>
      <c r="M8" s="6"/>
      <c r="N8" s="6"/>
      <c r="O8" s="6"/>
      <c r="P8" s="6"/>
      <c r="Q8" s="6"/>
      <c r="R8" s="6"/>
      <c r="S8" s="28"/>
      <c r="T8" s="444"/>
      <c r="U8" s="444"/>
      <c r="V8" s="444"/>
      <c r="W8" s="444"/>
      <c r="X8" s="444"/>
      <c r="Y8" s="444" t="s">
        <v>214</v>
      </c>
      <c r="Z8" s="444"/>
      <c r="AA8" s="444">
        <v>3.0000000000000001E-3</v>
      </c>
      <c r="AB8" s="444" t="s">
        <v>4</v>
      </c>
      <c r="AC8" s="444"/>
      <c r="AD8" s="444"/>
      <c r="AE8" s="444"/>
      <c r="AF8" s="444"/>
      <c r="AG8" s="444"/>
      <c r="AH8" s="444"/>
      <c r="AI8" s="444"/>
      <c r="AJ8" s="444"/>
      <c r="AK8" s="445" t="s">
        <v>356</v>
      </c>
      <c r="AL8" s="445">
        <f>IF(AB5&lt;1.5,81.67,IF(AB5&lt;2,93.46,IF(AB5&lt;2.5,100.87,IF(AB5&lt;3,105.66,108.09))))</f>
        <v>108.09</v>
      </c>
      <c r="AM8" s="444">
        <v>13.26</v>
      </c>
      <c r="AN8" s="444"/>
      <c r="AO8" s="444"/>
      <c r="AP8" s="444"/>
      <c r="AQ8" s="443"/>
      <c r="AR8" s="443"/>
      <c r="AS8" s="443"/>
    </row>
    <row r="9" spans="2:45" ht="15" customHeight="1" x14ac:dyDescent="0.25">
      <c r="B9" s="5"/>
      <c r="C9" s="6"/>
      <c r="D9" s="6"/>
      <c r="E9" s="6"/>
      <c r="F9" s="6"/>
      <c r="G9" s="6"/>
      <c r="H9" s="6"/>
      <c r="I9" s="6"/>
      <c r="J9" s="6"/>
      <c r="K9" s="6"/>
      <c r="L9" s="6"/>
      <c r="M9" s="6"/>
      <c r="N9" s="6"/>
      <c r="O9" s="6"/>
      <c r="P9" s="6"/>
      <c r="Q9" s="6"/>
      <c r="R9" s="6"/>
      <c r="S9" s="28"/>
      <c r="T9" s="444"/>
      <c r="U9" s="444"/>
      <c r="V9" s="444"/>
      <c r="W9" s="444"/>
      <c r="X9" s="444"/>
      <c r="Y9" s="444" t="s">
        <v>6</v>
      </c>
      <c r="Z9" s="444">
        <f>IF(AA3&gt;AA5,AA5/2,AA3/2)</f>
        <v>0</v>
      </c>
      <c r="AA9" s="444" t="s">
        <v>4</v>
      </c>
      <c r="AB9" s="444"/>
      <c r="AC9" s="444"/>
      <c r="AD9" s="444"/>
      <c r="AE9" s="444"/>
      <c r="AF9" s="444"/>
      <c r="AG9" s="444"/>
      <c r="AH9" s="444"/>
      <c r="AI9" s="444"/>
      <c r="AJ9" s="444"/>
      <c r="AK9" s="445" t="s">
        <v>40</v>
      </c>
      <c r="AL9" s="445">
        <f>IF(AB5&lt;1.5,82.37,IF(AB5&lt;2,93.46,IF(AB5&lt;2.5,100.6,IF(AB5&lt;3,105.28,108.44))))</f>
        <v>108.44</v>
      </c>
      <c r="AM9" s="444">
        <v>9.82</v>
      </c>
      <c r="AN9" s="444"/>
      <c r="AO9" s="444"/>
      <c r="AP9" s="444"/>
      <c r="AQ9" s="443"/>
      <c r="AR9" s="443"/>
      <c r="AS9" s="443"/>
    </row>
    <row r="10" spans="2:45" ht="15" customHeight="1" x14ac:dyDescent="0.25">
      <c r="B10" s="5"/>
      <c r="C10" s="11"/>
      <c r="D10" s="11"/>
      <c r="E10" s="11"/>
      <c r="F10" s="11"/>
      <c r="G10" s="11"/>
      <c r="H10" s="11"/>
      <c r="I10" s="11"/>
      <c r="J10" s="11"/>
      <c r="K10" s="11"/>
      <c r="L10" s="11"/>
      <c r="M10" s="11"/>
      <c r="N10" s="11"/>
      <c r="O10" s="11"/>
      <c r="P10" s="11"/>
      <c r="Q10" s="11"/>
      <c r="R10" s="11"/>
      <c r="S10" s="238"/>
      <c r="T10" s="444"/>
      <c r="U10" s="444"/>
      <c r="V10" s="444"/>
      <c r="W10" s="444"/>
      <c r="X10" s="444"/>
      <c r="Y10" s="444" t="s">
        <v>7</v>
      </c>
      <c r="Z10" s="444">
        <f>IF(AA4&gt;AA5,AA5/2,AA4/2)</f>
        <v>0</v>
      </c>
      <c r="AA10" s="444" t="s">
        <v>4</v>
      </c>
      <c r="AB10" s="444"/>
      <c r="AC10" s="444"/>
      <c r="AD10" s="444"/>
      <c r="AE10" s="444"/>
      <c r="AF10" s="444"/>
      <c r="AG10" s="444"/>
      <c r="AH10" s="444"/>
      <c r="AI10" s="444"/>
      <c r="AJ10" s="444"/>
      <c r="AK10" s="445" t="s">
        <v>41</v>
      </c>
      <c r="AL10" s="445">
        <f>IF(AB5&lt;1.5,114.78,IF(AB5&lt;2,137.24,IF(AB5&lt;2.5,153.1,IF(AB5&lt;3,164.15,171.95))))</f>
        <v>171.95</v>
      </c>
      <c r="AM10" s="444">
        <v>12.11</v>
      </c>
      <c r="AN10" s="444"/>
      <c r="AO10" s="444"/>
      <c r="AP10" s="444"/>
      <c r="AQ10" s="443"/>
      <c r="AR10" s="443"/>
      <c r="AS10" s="443"/>
    </row>
    <row r="11" spans="2:45" ht="15" customHeight="1" x14ac:dyDescent="0.25">
      <c r="B11" s="5"/>
      <c r="C11" s="239" t="s">
        <v>50</v>
      </c>
      <c r="D11" s="564">
        <f>'Navigation Page'!D16</f>
        <v>0</v>
      </c>
      <c r="E11" s="526"/>
      <c r="F11" s="526"/>
      <c r="G11" s="565" t="s">
        <v>81</v>
      </c>
      <c r="H11" s="566"/>
      <c r="I11" s="526">
        <f>'Navigation Page'!I16</f>
        <v>0</v>
      </c>
      <c r="J11" s="526"/>
      <c r="K11" s="565" t="s">
        <v>52</v>
      </c>
      <c r="L11" s="566"/>
      <c r="M11" s="567">
        <f>'Navigation Page'!K16</f>
        <v>0</v>
      </c>
      <c r="N11" s="567"/>
      <c r="O11" s="567"/>
      <c r="P11" s="567"/>
      <c r="Q11" s="20" t="s">
        <v>53</v>
      </c>
      <c r="R11" s="240">
        <f>'Navigation Page'!O16</f>
        <v>0</v>
      </c>
      <c r="S11" s="238"/>
      <c r="T11" s="444"/>
      <c r="U11" s="444"/>
      <c r="V11" s="444"/>
      <c r="W11" s="444"/>
      <c r="X11" s="444"/>
      <c r="Y11" s="444" t="s">
        <v>8</v>
      </c>
      <c r="Z11" s="444">
        <f>IF(AA5&gt;AA3,AA2*AA3/2,AA2*AA5/2)</f>
        <v>0</v>
      </c>
      <c r="AA11" s="444" t="s">
        <v>13</v>
      </c>
      <c r="AB11" s="444"/>
      <c r="AC11" s="444"/>
      <c r="AD11" s="444"/>
      <c r="AE11" s="444"/>
      <c r="AF11" s="444"/>
      <c r="AG11" s="444"/>
      <c r="AH11" s="444"/>
      <c r="AI11" s="444"/>
      <c r="AJ11" s="444"/>
      <c r="AK11" s="445" t="s">
        <v>42</v>
      </c>
      <c r="AL11" s="445">
        <f>IF(AB5&lt;1.5,148.57,IF(AB5&lt;2,178.44,IF(AB5&lt;2.5,201.26,IF(AB5&lt;3,218.07,230.42))))</f>
        <v>230.42</v>
      </c>
      <c r="AM11" s="444">
        <v>35.1</v>
      </c>
      <c r="AN11" s="444"/>
      <c r="AO11" s="444"/>
      <c r="AP11" s="444"/>
      <c r="AQ11" s="443"/>
      <c r="AR11" s="443"/>
      <c r="AS11" s="443"/>
    </row>
    <row r="12" spans="2:45" ht="15" customHeight="1" x14ac:dyDescent="0.25">
      <c r="B12" s="5"/>
      <c r="C12" s="241" t="s">
        <v>54</v>
      </c>
      <c r="D12" s="564">
        <f>'Navigation Page'!D17</f>
        <v>0</v>
      </c>
      <c r="E12" s="526"/>
      <c r="F12" s="526"/>
      <c r="G12" s="568" t="s">
        <v>55</v>
      </c>
      <c r="H12" s="569"/>
      <c r="I12" s="570">
        <f ca="1">'Navigation Page'!I17</f>
        <v>42251</v>
      </c>
      <c r="J12" s="526"/>
      <c r="K12" s="241" t="s">
        <v>56</v>
      </c>
      <c r="L12" s="242"/>
      <c r="M12" s="232">
        <f>'Navigation Page'!K17</f>
        <v>0</v>
      </c>
      <c r="N12" s="564" t="s">
        <v>191</v>
      </c>
      <c r="O12" s="571"/>
      <c r="P12" s="233">
        <f>'Navigation Page'!M17</f>
        <v>0</v>
      </c>
      <c r="Q12" s="243" t="s">
        <v>58</v>
      </c>
      <c r="R12" s="23">
        <f>'Navigation Page'!O17+3</f>
        <v>4</v>
      </c>
      <c r="S12" s="28"/>
      <c r="T12" s="444"/>
      <c r="U12" s="444"/>
      <c r="V12" s="444"/>
      <c r="W12" s="444"/>
      <c r="X12" s="444"/>
      <c r="Y12" s="444" t="s">
        <v>9</v>
      </c>
      <c r="Z12" s="444">
        <f>IF(AA5&gt;AA4,AA2*AA4/2,AA2*AA5/2)</f>
        <v>0</v>
      </c>
      <c r="AA12" s="444" t="s">
        <v>13</v>
      </c>
      <c r="AB12" s="444"/>
      <c r="AC12" s="444"/>
      <c r="AD12" s="444"/>
      <c r="AE12" s="444"/>
      <c r="AF12" s="444"/>
      <c r="AG12" s="444"/>
      <c r="AH12" s="444"/>
      <c r="AI12" s="444"/>
      <c r="AJ12" s="444"/>
      <c r="AK12" s="444" t="s">
        <v>43</v>
      </c>
      <c r="AL12" s="444">
        <f>IF(AB5&lt;1.5,151.13,IF(AB5&lt;2,181.11,IF(AB5&lt;2.5,202.71,IF(AB5&lt;3,217.99,228.87))))</f>
        <v>228.87</v>
      </c>
      <c r="AM12" s="444">
        <v>13.58</v>
      </c>
      <c r="AN12" s="444"/>
      <c r="AO12" s="444"/>
      <c r="AP12" s="444"/>
      <c r="AQ12" s="443"/>
      <c r="AR12" s="443"/>
      <c r="AS12" s="443"/>
    </row>
    <row r="13" spans="2:45" ht="15" customHeight="1" x14ac:dyDescent="0.25">
      <c r="B13" s="5"/>
      <c r="C13" s="11"/>
      <c r="D13" s="11"/>
      <c r="E13" s="11"/>
      <c r="F13" s="11"/>
      <c r="G13" s="11"/>
      <c r="H13" s="11"/>
      <c r="I13" s="11"/>
      <c r="J13" s="11"/>
      <c r="K13" s="6"/>
      <c r="L13" s="6"/>
      <c r="M13" s="6"/>
      <c r="N13" s="31"/>
      <c r="O13" s="6"/>
      <c r="P13" s="6"/>
      <c r="Q13" s="6"/>
      <c r="R13" s="6"/>
      <c r="S13" s="28"/>
      <c r="T13" s="444"/>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3"/>
      <c r="AR13" s="443"/>
      <c r="AS13" s="443"/>
    </row>
    <row r="14" spans="2:45" ht="15" customHeight="1" x14ac:dyDescent="0.3">
      <c r="B14" s="5"/>
      <c r="C14" s="244" t="s">
        <v>88</v>
      </c>
      <c r="D14" s="6"/>
      <c r="E14" s="6"/>
      <c r="F14" s="6"/>
      <c r="G14" s="6"/>
      <c r="H14" s="6"/>
      <c r="I14" s="6"/>
      <c r="J14" s="6"/>
      <c r="K14" s="6"/>
      <c r="L14" s="6"/>
      <c r="M14" s="6"/>
      <c r="N14" s="31"/>
      <c r="O14" s="6"/>
      <c r="P14" s="29"/>
      <c r="Q14" s="6"/>
      <c r="R14" s="6"/>
      <c r="S14" s="28"/>
      <c r="T14" s="444"/>
      <c r="U14" s="444"/>
      <c r="V14" s="444"/>
      <c r="W14" s="444"/>
      <c r="X14" s="444"/>
      <c r="Y14" s="444" t="s">
        <v>10</v>
      </c>
      <c r="Z14" s="444"/>
      <c r="AA14" s="444">
        <f>AK18</f>
        <v>70000000000</v>
      </c>
      <c r="AB14" s="444" t="s">
        <v>11</v>
      </c>
      <c r="AC14" s="444" t="s">
        <v>215</v>
      </c>
      <c r="AD14" s="444"/>
      <c r="AE14" s="444">
        <f>AA1*AA3*AA5/2</f>
        <v>0</v>
      </c>
      <c r="AF14" s="444" t="s">
        <v>216</v>
      </c>
      <c r="AG14" s="444"/>
      <c r="AH14" s="444"/>
      <c r="AI14" s="444"/>
      <c r="AJ14" s="444"/>
      <c r="AK14" s="444"/>
      <c r="AL14" s="444"/>
      <c r="AM14" s="444"/>
      <c r="AN14" s="444"/>
      <c r="AO14" s="444"/>
      <c r="AP14" s="444"/>
      <c r="AQ14" s="443"/>
      <c r="AR14" s="443"/>
      <c r="AS14" s="443"/>
    </row>
    <row r="15" spans="2:45" ht="15" customHeight="1" x14ac:dyDescent="0.25">
      <c r="B15" s="5"/>
      <c r="C15" s="6"/>
      <c r="D15" s="6"/>
      <c r="E15" s="6"/>
      <c r="F15" s="6"/>
      <c r="G15" s="6"/>
      <c r="H15" s="6"/>
      <c r="I15" s="6"/>
      <c r="J15" s="6"/>
      <c r="K15" s="6"/>
      <c r="L15" s="6"/>
      <c r="M15" s="6"/>
      <c r="N15" s="230"/>
      <c r="O15" s="230"/>
      <c r="P15" s="230"/>
      <c r="Q15" s="230"/>
      <c r="R15" s="230"/>
      <c r="S15" s="28"/>
      <c r="T15" s="444"/>
      <c r="U15" s="444"/>
      <c r="V15" s="444"/>
      <c r="W15" s="444"/>
      <c r="X15" s="444"/>
      <c r="Y15" s="444" t="s">
        <v>14</v>
      </c>
      <c r="Z15" s="444"/>
      <c r="AA15" s="444" t="e">
        <f>(Z11*(5*AA5^2-4*Z9^2)^2+Z12*(5*AA5^2-4*Z10^2)^2)/(1920*AA14*AA7)</f>
        <v>#DIV/0!</v>
      </c>
      <c r="AB15" s="444" t="s">
        <v>15</v>
      </c>
      <c r="AC15" s="444" t="s">
        <v>200</v>
      </c>
      <c r="AD15" s="444"/>
      <c r="AE15" s="444">
        <f>AE14*AA6*(3*AA5^2-4*AA6^2)/(24*AA14*AA8)+5*30*AA5^4/(384*AA14*AA8)</f>
        <v>0</v>
      </c>
      <c r="AF15" s="444" t="s">
        <v>15</v>
      </c>
      <c r="AG15" s="444"/>
      <c r="AH15" s="444" t="e">
        <f>IF(AND(AI2&gt;AA16,AJ2&gt;AE16),AH2,IF(AND(AI3&gt;AA16,AJ3&gt;AE16),AH3,IF(AND(AI4&gt;AA16,AJ4&gt;AE16),AH4,IF(AND(AI5&gt;AA16,AJ5&gt;AE16),AH5,"NA"))))</f>
        <v>#DIV/0!</v>
      </c>
      <c r="AI15" s="444" t="e">
        <f>IF(AND(AI2&gt;AA16,AJ2&gt;AE16),AI2,IF(AND(AI3&gt;AA16,AJ3&gt;AE16),AI3,IF(AND(AI4&gt;AA16,AJ4&gt;AE16),AI4,IF(AND(AI5&gt;AA16,AJ5&gt;AE16),AI5,"NA"))))</f>
        <v>#DIV/0!</v>
      </c>
      <c r="AJ15" s="444" t="e">
        <f>IF(AND(AI2&gt;AA16,AJ2&gt;AE16),AJ2,IF(AND(AI3&gt;AA16,AJ3&gt;AE16),AJ3,IF(AND(AI4&gt;AA16,AJ4&gt;AE16),AJ4,IF(AND(AI5&gt;AA16,AJ5&gt;AE16),AJ5,"NA"))))</f>
        <v>#DIV/0!</v>
      </c>
      <c r="AK15" s="444" t="e">
        <f>IF(AND(AL2&gt;AA16,AM2&gt;AE16),AK2,IF(AND(AL3&gt;AA16,AM3&gt;AE16),AK3,IF(AND(AL4&gt;AA16,AM4&gt;AE16),AK4,IF(AND(AL5&gt;AA16,AM5&gt;AE16),AK5,IF(AND(AL6&gt;AA16,AM6&gt;AE16),AK6,IF(AND(AL7&gt;AA16,AM7&gt;AE16),AK7,IF(AND(AL8&gt;AA16,AM8&gt;AE16),AK8,IF(AND(AL9&gt;AA16,AM9&gt;AE16),AK9,IF(AND(AL10&gt;AA16,AM10&gt;AE16),AK10,IF(AND(AL11&gt;AA16,AM11&gt;AE16),AK11,IF(AND(AL12&gt;AA16,AM12&gt;AE16),AK12,"NA")))))))))))</f>
        <v>#DIV/0!</v>
      </c>
      <c r="AL15" s="444" t="e">
        <f>IF(AND(AL2&gt;AA16,AM2&gt;AE16),AL2,IF(AND(AL3&gt;AA16,AM3&gt;AE16),AL3,IF(AND(AL4&gt;AA16,AM4&gt;AE16),AL4,IF(AND(AL5&gt;AA16,AM5&gt;AE16),AL5,IF(AND(AL6&gt;AA16,AM6&gt;AE16),AL6,IF(AND(AL7&gt;AA16,AM7&gt;AE16),AL7,IF(AND(AL8&gt;AA16,AM8&gt;AE16),AL8,IF(AND(AL9&gt;AA16,AM9&gt;AE16),AL9,IF(AND(AL10&gt;AA16,AM10&gt;AE16),AL10,IF(AND(AL11&gt;AA16,AM11&gt;AE16),AL11,IF(AND(AL12&gt;AA16,AM12&gt;AE16),AL12,"NA")))))))))))</f>
        <v>#DIV/0!</v>
      </c>
      <c r="AM15" s="444" t="e">
        <f>IF(AND(AL2&gt;AA16,AM2&gt;AE16),AM2,IF(AND(AL3&gt;AA16,AM3&gt;AE16),AM3,IF(AND(AL4&gt;AA16,AM4&gt;AE16),AM4,IF(AND(AL5&gt;AA16,AM5&gt;AE16),AM5,IF(AND(AL6&gt;AA16,AM6&gt;AE16),AM6,IF(AND(AL7&gt;AA16,AM7&gt;AE16),AM7,IF(AND(AL8&gt;AA16,AM8&gt;AE16),AM8,IF(AND(AL9&gt;AA16,AM9&gt;AE16),AM9,IF(AND(AL10&gt;AA16,AM10&gt;AE16),AM10,IF(AND(AL11&gt;AA16,AM11&gt;AE16),AM11,IF(AND(AL12&gt;AA16,AM12&gt;AE16),AM12,"NA")))))))))))</f>
        <v>#DIV/0!</v>
      </c>
      <c r="AN15" s="444" t="e">
        <f>IF(AND(AO2&gt;AA16,AP2&gt;AE16),AN2,IF(AND(AO3&gt;AA16,AP3&gt;AE16),AN3,"NA"))</f>
        <v>#DIV/0!</v>
      </c>
      <c r="AO15" s="444" t="e">
        <f>IF(AND(AO2&gt;AA16,AP2&gt;AE16),AO2,IF(AND(AO3&gt;AA16,AP3&gt;AE16),AO3,"NA"))</f>
        <v>#DIV/0!</v>
      </c>
      <c r="AP15" s="444" t="e">
        <f>IF(AND(AO2&gt;AA16,AP2&gt;AE16),AP2,IF(AND(AO3&gt;AA16,AP3&gt;AE16),AP3,"NA"))</f>
        <v>#DIV/0!</v>
      </c>
      <c r="AQ15" s="443"/>
      <c r="AR15" s="443"/>
      <c r="AS15" s="443"/>
    </row>
    <row r="16" spans="2:45" ht="15" customHeight="1" x14ac:dyDescent="0.25">
      <c r="B16" s="5"/>
      <c r="C16" s="6"/>
      <c r="D16" s="6"/>
      <c r="E16" s="6"/>
      <c r="F16" s="6"/>
      <c r="G16" s="6"/>
      <c r="H16" s="6"/>
      <c r="I16" s="6"/>
      <c r="J16" s="6"/>
      <c r="K16" s="6"/>
      <c r="L16" s="6"/>
      <c r="M16" s="6" t="s">
        <v>192</v>
      </c>
      <c r="N16" s="231"/>
      <c r="O16" s="231"/>
      <c r="P16" s="231"/>
      <c r="Q16" s="231"/>
      <c r="R16" s="231"/>
      <c r="S16" s="28"/>
      <c r="T16" s="444"/>
      <c r="U16" s="444"/>
      <c r="V16" s="444"/>
      <c r="W16" s="444"/>
      <c r="X16" s="444"/>
      <c r="Y16" s="444" t="s">
        <v>14</v>
      </c>
      <c r="Z16" s="444"/>
      <c r="AA16" s="444" t="e">
        <f>AA15*100000000</f>
        <v>#DIV/0!</v>
      </c>
      <c r="AB16" s="444" t="s">
        <v>16</v>
      </c>
      <c r="AC16" s="444" t="s">
        <v>200</v>
      </c>
      <c r="AD16" s="444"/>
      <c r="AE16" s="444">
        <f>AE15*100000000</f>
        <v>0</v>
      </c>
      <c r="AF16" s="444" t="s">
        <v>16</v>
      </c>
      <c r="AG16" s="444"/>
      <c r="AH16" s="444"/>
      <c r="AI16" s="444"/>
      <c r="AJ16" s="444"/>
      <c r="AK16" s="444"/>
      <c r="AL16" s="444"/>
      <c r="AM16" s="444"/>
      <c r="AN16" s="444"/>
      <c r="AO16" s="444"/>
      <c r="AP16" s="444"/>
      <c r="AQ16" s="443"/>
      <c r="AR16" s="443"/>
      <c r="AS16" s="443"/>
    </row>
    <row r="17" spans="2:45" ht="15" customHeight="1" x14ac:dyDescent="0.25">
      <c r="B17" s="5"/>
      <c r="C17" s="6"/>
      <c r="D17" s="6"/>
      <c r="E17" s="6"/>
      <c r="F17" s="6"/>
      <c r="G17" s="6"/>
      <c r="H17" s="6"/>
      <c r="I17" s="245"/>
      <c r="J17" s="245"/>
      <c r="K17" s="245"/>
      <c r="L17" s="245"/>
      <c r="M17" s="245"/>
      <c r="N17" s="245"/>
      <c r="O17" s="245"/>
      <c r="P17" s="245"/>
      <c r="Q17" s="245"/>
      <c r="R17" s="245"/>
      <c r="S17" s="28"/>
      <c r="T17" s="444"/>
      <c r="U17" s="444"/>
      <c r="V17" s="444"/>
      <c r="W17" s="444"/>
      <c r="X17" s="444"/>
      <c r="Y17" s="444"/>
      <c r="Z17" s="444"/>
      <c r="AA17" s="444"/>
      <c r="AB17" s="444"/>
      <c r="AC17" s="444"/>
      <c r="AD17" s="444"/>
      <c r="AE17" s="444"/>
      <c r="AF17" s="444"/>
      <c r="AG17" s="444"/>
      <c r="AH17" s="444"/>
      <c r="AI17" s="444"/>
      <c r="AJ17" s="444"/>
      <c r="AK17" s="444"/>
      <c r="AL17" s="444"/>
      <c r="AM17" s="444"/>
      <c r="AN17" s="444"/>
      <c r="AO17" s="444"/>
      <c r="AP17" s="444"/>
      <c r="AQ17" s="443"/>
      <c r="AR17" s="443"/>
      <c r="AS17" s="443"/>
    </row>
    <row r="18" spans="2:45" ht="15" customHeight="1" x14ac:dyDescent="0.25">
      <c r="B18" s="5"/>
      <c r="C18" s="6"/>
      <c r="D18" s="6"/>
      <c r="E18" s="6"/>
      <c r="F18" s="6"/>
      <c r="G18" s="6"/>
      <c r="H18" s="6"/>
      <c r="I18" s="245"/>
      <c r="J18" s="245"/>
      <c r="K18" s="245"/>
      <c r="L18" s="245"/>
      <c r="M18" s="245"/>
      <c r="N18" s="245"/>
      <c r="O18" s="245"/>
      <c r="P18" s="245"/>
      <c r="Q18" s="245"/>
      <c r="R18" s="245"/>
      <c r="S18" s="28"/>
      <c r="T18" s="444"/>
      <c r="U18" s="444"/>
      <c r="V18" s="444"/>
      <c r="W18" s="444"/>
      <c r="X18" s="444"/>
      <c r="Y18" s="444" t="s">
        <v>17</v>
      </c>
      <c r="Z18" s="444"/>
      <c r="AA18" s="444" t="e">
        <f>IF(AI19="NA","NA",AI19/100000000)</f>
        <v>#DIV/0!</v>
      </c>
      <c r="AB18" s="444" t="s">
        <v>15</v>
      </c>
      <c r="AC18" s="444"/>
      <c r="AD18" s="444"/>
      <c r="AE18" s="444" t="s">
        <v>219</v>
      </c>
      <c r="AF18" s="444" t="e">
        <f>AJ19/100000000</f>
        <v>#DIV/0!</v>
      </c>
      <c r="AG18" s="444" t="s">
        <v>15</v>
      </c>
      <c r="AH18" s="444"/>
      <c r="AI18" s="444"/>
      <c r="AJ18" s="444"/>
      <c r="AK18" s="444">
        <f>IF(AG7=1,AI1,IF(AG7=2,AL1,AO1))</f>
        <v>70000000000</v>
      </c>
      <c r="AL18" s="444"/>
      <c r="AM18" s="444"/>
      <c r="AN18" s="444"/>
      <c r="AO18" s="444"/>
      <c r="AP18" s="444"/>
      <c r="AQ18" s="443"/>
      <c r="AR18" s="443"/>
      <c r="AS18" s="443"/>
    </row>
    <row r="19" spans="2:45" ht="15" customHeight="1" x14ac:dyDescent="0.25">
      <c r="B19" s="5"/>
      <c r="C19" s="6"/>
      <c r="D19" s="6"/>
      <c r="E19" s="6"/>
      <c r="F19" s="6"/>
      <c r="G19" s="6"/>
      <c r="H19" s="6"/>
      <c r="I19" s="245"/>
      <c r="J19" s="245"/>
      <c r="K19" s="245"/>
      <c r="L19" s="245"/>
      <c r="M19" s="245"/>
      <c r="N19" s="245"/>
      <c r="O19" s="245"/>
      <c r="P19" s="245"/>
      <c r="Q19" s="245"/>
      <c r="R19" s="245"/>
      <c r="S19" s="28"/>
      <c r="T19" s="444"/>
      <c r="U19" s="444"/>
      <c r="V19" s="444"/>
      <c r="W19" s="444"/>
      <c r="X19" s="444"/>
      <c r="Y19" s="444" t="s">
        <v>18</v>
      </c>
      <c r="Z19" s="444"/>
      <c r="AA19" s="444" t="e">
        <f>(Z11*(5*AA5^2-4*Z9^2)^2+Z12*(5*AA5^2-4*Z10^2)^2)/(1920*AA14*AA18)</f>
        <v>#DIV/0!</v>
      </c>
      <c r="AB19" s="444" t="s">
        <v>4</v>
      </c>
      <c r="AC19" s="444" t="s">
        <v>21</v>
      </c>
      <c r="AD19" s="444"/>
      <c r="AE19" s="444" t="s">
        <v>18</v>
      </c>
      <c r="AF19" s="444" t="e">
        <f>AE14*AA6*(3*AA5^2-4*AA6^2)/(24*AA14*AF18)+5*30*AA5^4/(384*AA14*AF18)</f>
        <v>#DIV/0!</v>
      </c>
      <c r="AG19" s="444" t="s">
        <v>4</v>
      </c>
      <c r="AH19" s="444" t="e">
        <f>IF(AG7=AF1,AH15,IF(AG7=AF2,AK15,AN15))</f>
        <v>#DIV/0!</v>
      </c>
      <c r="AI19" s="444" t="e">
        <f>IF(AG7=AF1,AI15,IF(AG7=AF2,AL15,AO15))</f>
        <v>#DIV/0!</v>
      </c>
      <c r="AJ19" s="444" t="e">
        <f>IF(AG7=AF1,AJ15,IF(AG7=AF2,AM15,AP15))</f>
        <v>#DIV/0!</v>
      </c>
      <c r="AK19" s="444"/>
      <c r="AL19" s="444"/>
      <c r="AM19" s="444"/>
      <c r="AN19" s="444"/>
      <c r="AO19" s="444"/>
      <c r="AP19" s="444"/>
      <c r="AQ19" s="443"/>
      <c r="AR19" s="443"/>
      <c r="AS19" s="443"/>
    </row>
    <row r="20" spans="2:45" ht="15" customHeight="1" x14ac:dyDescent="0.25">
      <c r="B20" s="5"/>
      <c r="C20" s="6"/>
      <c r="D20" s="6"/>
      <c r="E20" s="6"/>
      <c r="F20" s="6"/>
      <c r="G20" s="6"/>
      <c r="H20" s="6"/>
      <c r="I20" s="557"/>
      <c r="J20" s="557"/>
      <c r="K20" s="557"/>
      <c r="L20" s="557"/>
      <c r="M20" s="557"/>
      <c r="N20" s="557"/>
      <c r="O20" s="557"/>
      <c r="P20" s="557"/>
      <c r="Q20" s="557"/>
      <c r="R20" s="245"/>
      <c r="S20" s="28"/>
      <c r="T20" s="444"/>
      <c r="U20" s="444"/>
      <c r="V20" s="444"/>
      <c r="W20" s="444"/>
      <c r="X20" s="444"/>
      <c r="Y20" s="444"/>
      <c r="Z20" s="444"/>
      <c r="AA20" s="444" t="s">
        <v>22</v>
      </c>
      <c r="AB20" s="444" t="s">
        <v>23</v>
      </c>
      <c r="AC20" s="444"/>
      <c r="AD20" s="444"/>
      <c r="AE20" s="444"/>
      <c r="AF20" s="444"/>
      <c r="AG20" s="444"/>
      <c r="AH20" s="444"/>
      <c r="AI20" s="444"/>
      <c r="AJ20" s="444"/>
      <c r="AK20" s="444"/>
      <c r="AL20" s="444"/>
      <c r="AM20" s="444"/>
      <c r="AN20" s="444"/>
      <c r="AO20" s="444"/>
      <c r="AP20" s="444"/>
      <c r="AQ20" s="443"/>
      <c r="AR20" s="443"/>
      <c r="AS20" s="443"/>
    </row>
    <row r="21" spans="2:45" ht="15" customHeight="1" x14ac:dyDescent="0.25">
      <c r="B21" s="5"/>
      <c r="C21" s="6"/>
      <c r="D21" s="6"/>
      <c r="E21" s="6"/>
      <c r="F21" s="6"/>
      <c r="G21" s="6"/>
      <c r="H21" s="6"/>
      <c r="I21" s="245"/>
      <c r="J21" s="245"/>
      <c r="K21" s="245"/>
      <c r="L21" s="245"/>
      <c r="M21" s="245"/>
      <c r="N21" s="245"/>
      <c r="O21" s="245"/>
      <c r="P21" s="245"/>
      <c r="Q21" s="245"/>
      <c r="R21" s="245"/>
      <c r="S21" s="28"/>
      <c r="T21" s="444"/>
      <c r="U21" s="444"/>
      <c r="V21" s="444"/>
      <c r="W21" s="444"/>
      <c r="X21" s="444"/>
      <c r="Y21" s="444"/>
      <c r="Z21" s="444"/>
      <c r="AA21" s="444">
        <f>((AA5-Z9)*Z11+(AA5-Z10)*Z12)/2</f>
        <v>0</v>
      </c>
      <c r="AB21" s="444">
        <f>AA3*AA5*AA1/2</f>
        <v>0</v>
      </c>
      <c r="AC21" s="444"/>
      <c r="AD21" s="444"/>
      <c r="AE21" s="444"/>
      <c r="AF21" s="444"/>
      <c r="AG21" s="444"/>
      <c r="AH21" s="444"/>
      <c r="AI21" s="444"/>
      <c r="AJ21" s="444"/>
      <c r="AK21" s="444"/>
      <c r="AL21" s="444"/>
      <c r="AM21" s="444"/>
      <c r="AN21" s="444"/>
      <c r="AO21" s="444"/>
      <c r="AP21" s="444"/>
      <c r="AQ21" s="443"/>
      <c r="AR21" s="443"/>
      <c r="AS21" s="443"/>
    </row>
    <row r="22" spans="2:45" x14ac:dyDescent="0.25">
      <c r="B22" s="5"/>
      <c r="C22" s="6"/>
      <c r="D22" s="6"/>
      <c r="E22" s="6"/>
      <c r="F22" s="6"/>
      <c r="G22" s="6"/>
      <c r="H22" s="6"/>
      <c r="I22" s="245"/>
      <c r="J22" s="245"/>
      <c r="K22" s="245"/>
      <c r="L22" s="245"/>
      <c r="M22" s="245"/>
      <c r="N22" s="245"/>
      <c r="O22" s="245"/>
      <c r="P22" s="245"/>
      <c r="Q22" s="245"/>
      <c r="R22" s="245"/>
      <c r="S22" s="28"/>
      <c r="T22" s="444"/>
      <c r="U22" s="444"/>
      <c r="V22" s="444"/>
      <c r="W22" s="444"/>
      <c r="X22" s="444"/>
      <c r="Y22" s="444"/>
      <c r="Z22" s="444"/>
      <c r="AA22" s="444"/>
      <c r="AB22" s="444"/>
      <c r="AC22" s="444"/>
      <c r="AD22" s="444"/>
      <c r="AE22" s="444"/>
      <c r="AF22" s="444"/>
      <c r="AG22" s="444"/>
      <c r="AH22" s="444"/>
      <c r="AI22" s="444"/>
      <c r="AJ22" s="444"/>
      <c r="AK22" s="444"/>
      <c r="AL22" s="444"/>
      <c r="AM22" s="444"/>
      <c r="AN22" s="444"/>
      <c r="AO22" s="444"/>
      <c r="AP22" s="444"/>
      <c r="AQ22" s="443"/>
      <c r="AR22" s="443"/>
      <c r="AS22" s="443"/>
    </row>
    <row r="23" spans="2:45" x14ac:dyDescent="0.25">
      <c r="B23" s="5"/>
      <c r="C23" s="6"/>
      <c r="D23" s="6"/>
      <c r="E23" s="6"/>
      <c r="F23" s="6"/>
      <c r="G23" s="6"/>
      <c r="H23" s="6"/>
      <c r="I23" s="246"/>
      <c r="J23" s="246"/>
      <c r="K23" s="246"/>
      <c r="L23" s="246"/>
      <c r="M23" s="246"/>
      <c r="N23" s="245"/>
      <c r="O23" s="245"/>
      <c r="P23" s="245"/>
      <c r="Q23" s="245"/>
      <c r="R23" s="245"/>
      <c r="S23" s="28"/>
      <c r="T23" s="444"/>
      <c r="U23" s="444"/>
      <c r="V23" s="444"/>
      <c r="W23" s="444"/>
      <c r="X23" s="444"/>
      <c r="Y23" s="444"/>
      <c r="Z23" s="444"/>
      <c r="AA23" s="444"/>
      <c r="AB23" s="444"/>
      <c r="AC23" s="444"/>
      <c r="AD23" s="444"/>
      <c r="AE23" s="444"/>
      <c r="AF23" s="444"/>
      <c r="AG23" s="444"/>
      <c r="AH23" s="444"/>
      <c r="AI23" s="444"/>
      <c r="AJ23" s="444"/>
      <c r="AK23" s="444"/>
      <c r="AL23" s="444"/>
      <c r="AM23" s="444"/>
      <c r="AN23" s="444"/>
      <c r="AO23" s="444"/>
      <c r="AP23" s="444"/>
      <c r="AQ23" s="443"/>
      <c r="AR23" s="443"/>
      <c r="AS23" s="443"/>
    </row>
    <row r="24" spans="2:45" x14ac:dyDescent="0.25">
      <c r="B24" s="5"/>
      <c r="C24" s="6"/>
      <c r="D24" s="6"/>
      <c r="E24" s="6"/>
      <c r="F24" s="6"/>
      <c r="G24" s="6"/>
      <c r="H24" s="6"/>
      <c r="I24" s="6"/>
      <c r="J24" s="6"/>
      <c r="K24" s="6"/>
      <c r="L24" s="6"/>
      <c r="M24" s="6"/>
      <c r="N24" s="6"/>
      <c r="O24" s="6"/>
      <c r="P24" s="6"/>
      <c r="Q24" s="6"/>
      <c r="R24" s="6"/>
      <c r="S24" s="28"/>
      <c r="T24" s="444"/>
      <c r="U24" s="444"/>
      <c r="V24" s="444"/>
      <c r="W24" s="444"/>
      <c r="X24" s="444"/>
      <c r="Y24" s="444"/>
      <c r="Z24" s="444"/>
      <c r="AA24" s="444"/>
      <c r="AB24" s="444"/>
      <c r="AC24" s="444"/>
      <c r="AD24" s="444"/>
      <c r="AE24" s="444"/>
      <c r="AF24" s="444"/>
      <c r="AG24" s="444"/>
      <c r="AH24" s="444"/>
      <c r="AI24" s="444"/>
      <c r="AJ24" s="444"/>
      <c r="AK24" s="444"/>
      <c r="AL24" s="444"/>
      <c r="AM24" s="444"/>
      <c r="AN24" s="444"/>
      <c r="AO24" s="444"/>
      <c r="AP24" s="444"/>
      <c r="AQ24" s="443"/>
      <c r="AR24" s="443"/>
      <c r="AS24" s="443"/>
    </row>
    <row r="25" spans="2:45" ht="15" customHeight="1" x14ac:dyDescent="0.25">
      <c r="B25" s="5"/>
      <c r="C25" s="6"/>
      <c r="D25" s="6"/>
      <c r="E25" s="6"/>
      <c r="F25" s="6"/>
      <c r="G25" s="6"/>
      <c r="H25" s="6"/>
      <c r="I25" s="6"/>
      <c r="J25" s="6"/>
      <c r="K25" s="6"/>
      <c r="L25" s="6"/>
      <c r="M25" s="6"/>
      <c r="N25" s="6"/>
      <c r="O25" s="6"/>
      <c r="P25" s="6"/>
      <c r="Q25" s="6"/>
      <c r="R25" s="6"/>
      <c r="S25" s="28"/>
      <c r="T25" s="444"/>
      <c r="U25" s="444"/>
      <c r="V25" s="444"/>
      <c r="W25" s="444"/>
      <c r="X25" s="444"/>
      <c r="Y25" s="444"/>
      <c r="Z25" s="444"/>
      <c r="AA25" s="444"/>
      <c r="AB25" s="444"/>
      <c r="AC25" s="444"/>
      <c r="AD25" s="444"/>
      <c r="AE25" s="444"/>
      <c r="AF25" s="444"/>
      <c r="AG25" s="444"/>
      <c r="AH25" s="444"/>
      <c r="AI25" s="444"/>
      <c r="AJ25" s="444"/>
      <c r="AK25" s="444"/>
      <c r="AL25" s="444"/>
      <c r="AM25" s="444"/>
      <c r="AN25" s="444"/>
      <c r="AO25" s="444"/>
      <c r="AP25" s="444"/>
      <c r="AQ25" s="443"/>
      <c r="AR25" s="443"/>
      <c r="AS25" s="443"/>
    </row>
    <row r="26" spans="2:45" ht="15" customHeight="1" x14ac:dyDescent="0.25">
      <c r="B26" s="5"/>
      <c r="C26" s="6"/>
      <c r="D26" s="6"/>
      <c r="E26" s="6"/>
      <c r="F26" s="6"/>
      <c r="G26" s="6"/>
      <c r="H26" s="6"/>
      <c r="I26" s="6"/>
      <c r="J26" s="6"/>
      <c r="K26" s="6"/>
      <c r="L26" s="6"/>
      <c r="M26" s="6"/>
      <c r="N26" s="6"/>
      <c r="O26" s="6"/>
      <c r="P26" s="6"/>
      <c r="Q26" s="6"/>
      <c r="R26" s="6"/>
      <c r="S26" s="28"/>
      <c r="T26" s="444"/>
      <c r="U26" s="444"/>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3"/>
      <c r="AR26" s="443"/>
      <c r="AS26" s="443"/>
    </row>
    <row r="27" spans="2:45" ht="15" customHeight="1" x14ac:dyDescent="0.25">
      <c r="B27" s="5"/>
      <c r="C27" s="6"/>
      <c r="D27" s="6"/>
      <c r="E27" s="6"/>
      <c r="F27" s="6"/>
      <c r="G27" s="6"/>
      <c r="H27" s="6"/>
      <c r="I27" s="6"/>
      <c r="J27" s="6"/>
      <c r="K27" s="6"/>
      <c r="L27" s="6"/>
      <c r="M27" s="6"/>
      <c r="N27" s="6"/>
      <c r="O27" s="6"/>
      <c r="P27" s="6"/>
      <c r="Q27" s="6"/>
      <c r="R27" s="6"/>
      <c r="S27" s="28"/>
      <c r="T27" s="444"/>
      <c r="U27" s="444"/>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3"/>
      <c r="AR27" s="443"/>
      <c r="AS27" s="443"/>
    </row>
    <row r="28" spans="2:45" ht="15" customHeight="1" x14ac:dyDescent="0.25">
      <c r="B28" s="5"/>
      <c r="C28" s="6"/>
      <c r="D28" s="6"/>
      <c r="E28" s="6"/>
      <c r="F28" s="6"/>
      <c r="G28" s="6"/>
      <c r="H28" s="6"/>
      <c r="I28" s="6"/>
      <c r="J28" s="6"/>
      <c r="K28" s="6"/>
      <c r="L28" s="6"/>
      <c r="M28" s="6"/>
      <c r="N28" s="6"/>
      <c r="O28" s="6"/>
      <c r="P28" s="6"/>
      <c r="Q28" s="6"/>
      <c r="R28" s="6"/>
      <c r="S28" s="28"/>
      <c r="T28" s="444"/>
      <c r="U28" s="444"/>
      <c r="V28" s="444"/>
      <c r="W28" s="444"/>
      <c r="X28" s="444"/>
      <c r="Y28" s="444"/>
      <c r="Z28" s="444"/>
      <c r="AA28" s="444"/>
      <c r="AB28" s="444"/>
      <c r="AC28" s="444"/>
      <c r="AD28" s="444"/>
      <c r="AE28" s="444"/>
      <c r="AF28" s="444"/>
      <c r="AG28" s="444"/>
      <c r="AH28" s="444"/>
      <c r="AI28" s="444"/>
      <c r="AJ28" s="444"/>
      <c r="AK28" s="444"/>
      <c r="AL28" s="444"/>
      <c r="AM28" s="444"/>
      <c r="AN28" s="444"/>
      <c r="AO28" s="444"/>
      <c r="AP28" s="444"/>
      <c r="AQ28" s="443"/>
      <c r="AR28" s="443"/>
      <c r="AS28" s="443"/>
    </row>
    <row r="29" spans="2:45" ht="15" customHeight="1" x14ac:dyDescent="0.25">
      <c r="B29" s="5"/>
      <c r="C29" s="6"/>
      <c r="D29" s="6"/>
      <c r="E29" s="6"/>
      <c r="F29" s="6"/>
      <c r="G29" s="6"/>
      <c r="H29" s="6"/>
      <c r="I29" s="6"/>
      <c r="J29" s="6"/>
      <c r="K29" s="6"/>
      <c r="L29" s="6"/>
      <c r="M29" s="6"/>
      <c r="N29" s="6"/>
      <c r="O29" s="6"/>
      <c r="P29" s="6"/>
      <c r="Q29" s="6"/>
      <c r="R29" s="6"/>
      <c r="S29" s="28"/>
      <c r="T29" s="444"/>
      <c r="U29" s="444"/>
      <c r="V29" s="444"/>
      <c r="W29" s="444"/>
      <c r="X29" s="444"/>
      <c r="Y29" s="444"/>
      <c r="Z29" s="444"/>
      <c r="AA29" s="444"/>
      <c r="AB29" s="444"/>
      <c r="AC29" s="444"/>
      <c r="AD29" s="444"/>
      <c r="AE29" s="444"/>
      <c r="AF29" s="444"/>
      <c r="AG29" s="444"/>
      <c r="AH29" s="444"/>
      <c r="AI29" s="444"/>
      <c r="AJ29" s="444"/>
      <c r="AK29" s="444"/>
      <c r="AL29" s="444"/>
      <c r="AM29" s="444"/>
      <c r="AN29" s="444"/>
      <c r="AO29" s="444"/>
      <c r="AP29" s="444"/>
      <c r="AQ29" s="443"/>
      <c r="AR29" s="443"/>
      <c r="AS29" s="443"/>
    </row>
    <row r="30" spans="2:45" ht="15" customHeight="1" x14ac:dyDescent="0.25">
      <c r="B30" s="5"/>
      <c r="C30" s="6"/>
      <c r="D30" s="6"/>
      <c r="E30" s="6"/>
      <c r="F30" s="6"/>
      <c r="G30" s="6"/>
      <c r="H30" s="6"/>
      <c r="I30" s="6"/>
      <c r="J30" s="6"/>
      <c r="K30" s="6"/>
      <c r="L30" s="6"/>
      <c r="M30" s="6"/>
      <c r="N30" s="6"/>
      <c r="O30" s="6"/>
      <c r="P30" s="6"/>
      <c r="Q30" s="6"/>
      <c r="R30" s="6"/>
      <c r="S30" s="28"/>
      <c r="T30" s="444"/>
      <c r="U30" s="444" t="s">
        <v>211</v>
      </c>
      <c r="V30" s="444"/>
      <c r="W30" s="444"/>
      <c r="X30" s="444"/>
      <c r="Y30" s="444"/>
      <c r="Z30" s="444"/>
      <c r="AA30" s="444"/>
      <c r="AB30" s="444"/>
      <c r="AC30" s="444"/>
      <c r="AD30" s="444"/>
      <c r="AE30" s="444"/>
      <c r="AF30" s="444"/>
      <c r="AG30" s="444"/>
      <c r="AH30" s="444"/>
      <c r="AI30" s="444"/>
      <c r="AJ30" s="444"/>
      <c r="AK30" s="444"/>
      <c r="AL30" s="444"/>
      <c r="AM30" s="444"/>
      <c r="AN30" s="444"/>
      <c r="AO30" s="444"/>
      <c r="AP30" s="444"/>
      <c r="AQ30" s="443"/>
      <c r="AR30" s="443"/>
      <c r="AS30" s="443"/>
    </row>
    <row r="31" spans="2:45" ht="15" customHeight="1" x14ac:dyDescent="0.25">
      <c r="B31" s="5"/>
      <c r="C31" s="6"/>
      <c r="D31" s="6"/>
      <c r="E31" s="6"/>
      <c r="F31" s="6"/>
      <c r="G31" s="6"/>
      <c r="H31" s="6"/>
      <c r="I31" s="6"/>
      <c r="J31" s="6"/>
      <c r="K31" s="6"/>
      <c r="L31" s="6"/>
      <c r="M31" s="6"/>
      <c r="N31" s="6"/>
      <c r="O31" s="6"/>
      <c r="P31" s="6"/>
      <c r="Q31" s="6"/>
      <c r="R31" s="6"/>
      <c r="S31" s="28"/>
      <c r="T31" s="444"/>
      <c r="U31" s="444" t="s">
        <v>79</v>
      </c>
      <c r="V31" s="444"/>
      <c r="W31" s="444"/>
      <c r="X31" s="444"/>
      <c r="Y31" s="444"/>
      <c r="Z31" s="444"/>
      <c r="AA31" s="444"/>
      <c r="AB31" s="444"/>
      <c r="AC31" s="444"/>
      <c r="AD31" s="444"/>
      <c r="AE31" s="444"/>
      <c r="AF31" s="444"/>
      <c r="AG31" s="444"/>
      <c r="AH31" s="444"/>
      <c r="AI31" s="444"/>
      <c r="AJ31" s="444"/>
      <c r="AK31" s="444"/>
      <c r="AL31" s="444"/>
      <c r="AM31" s="444"/>
      <c r="AN31" s="444"/>
      <c r="AO31" s="444"/>
      <c r="AP31" s="444"/>
      <c r="AQ31" s="443"/>
      <c r="AR31" s="443"/>
      <c r="AS31" s="443"/>
    </row>
    <row r="32" spans="2:45" ht="15" customHeight="1" x14ac:dyDescent="0.25">
      <c r="B32" s="5"/>
      <c r="C32" s="6"/>
      <c r="D32" s="6"/>
      <c r="E32" s="6"/>
      <c r="F32" s="6"/>
      <c r="G32" s="6"/>
      <c r="H32" s="6"/>
      <c r="I32" s="6"/>
      <c r="J32" s="6"/>
      <c r="K32" s="6"/>
      <c r="L32" s="6"/>
      <c r="M32" s="6"/>
      <c r="N32" s="6"/>
      <c r="O32" s="6"/>
      <c r="P32" s="6"/>
      <c r="Q32" s="6"/>
      <c r="R32" s="6"/>
      <c r="S32" s="28"/>
      <c r="T32" s="444"/>
      <c r="U32" s="444"/>
      <c r="V32" s="444"/>
      <c r="W32" s="444"/>
      <c r="X32" s="444"/>
      <c r="Y32" s="444"/>
      <c r="Z32" s="444"/>
      <c r="AA32" s="444"/>
      <c r="AB32" s="444"/>
      <c r="AC32" s="444"/>
      <c r="AD32" s="444"/>
      <c r="AE32" s="444"/>
      <c r="AF32" s="444"/>
      <c r="AG32" s="444"/>
      <c r="AH32" s="444"/>
      <c r="AI32" s="444"/>
      <c r="AJ32" s="444"/>
      <c r="AK32" s="444"/>
      <c r="AL32" s="444"/>
      <c r="AM32" s="444"/>
      <c r="AN32" s="444"/>
      <c r="AO32" s="444"/>
      <c r="AP32" s="444"/>
      <c r="AQ32" s="443"/>
      <c r="AR32" s="443"/>
      <c r="AS32" s="443"/>
    </row>
    <row r="33" spans="2:45" ht="15" customHeight="1" x14ac:dyDescent="0.25">
      <c r="B33" s="5"/>
      <c r="C33" s="6"/>
      <c r="D33" s="6"/>
      <c r="E33" s="6"/>
      <c r="F33" s="6"/>
      <c r="G33" s="6"/>
      <c r="H33" s="6"/>
      <c r="I33" s="6"/>
      <c r="J33" s="6"/>
      <c r="K33" s="6"/>
      <c r="L33" s="6"/>
      <c r="M33" s="6"/>
      <c r="N33" s="6"/>
      <c r="O33" s="6"/>
      <c r="P33" s="6"/>
      <c r="Q33" s="6"/>
      <c r="R33" s="6"/>
      <c r="S33" s="28"/>
      <c r="T33" s="444"/>
      <c r="U33" s="444"/>
      <c r="V33" s="444"/>
      <c r="W33" s="444"/>
      <c r="X33" s="444"/>
      <c r="Y33" s="444"/>
      <c r="Z33" s="444"/>
      <c r="AA33" s="444"/>
      <c r="AB33" s="444"/>
      <c r="AC33" s="444"/>
      <c r="AD33" s="444"/>
      <c r="AE33" s="444"/>
      <c r="AF33" s="444"/>
      <c r="AG33" s="444"/>
      <c r="AH33" s="444"/>
      <c r="AI33" s="444"/>
      <c r="AJ33" s="444"/>
      <c r="AK33" s="444"/>
      <c r="AL33" s="444"/>
      <c r="AM33" s="444"/>
      <c r="AN33" s="444"/>
      <c r="AO33" s="444"/>
      <c r="AP33" s="444"/>
      <c r="AQ33" s="443"/>
      <c r="AR33" s="443"/>
      <c r="AS33" s="443"/>
    </row>
    <row r="34" spans="2:45" ht="15" customHeight="1" x14ac:dyDescent="0.25">
      <c r="B34" s="5"/>
      <c r="C34" s="6"/>
      <c r="D34" s="6"/>
      <c r="E34" s="6"/>
      <c r="F34" s="6"/>
      <c r="G34" s="6"/>
      <c r="H34" s="6"/>
      <c r="I34" s="6"/>
      <c r="J34" s="6"/>
      <c r="K34" s="6"/>
      <c r="L34" s="6"/>
      <c r="M34" s="6"/>
      <c r="N34" s="6"/>
      <c r="O34" s="6"/>
      <c r="P34" s="6"/>
      <c r="Q34" s="6"/>
      <c r="R34" s="6"/>
      <c r="S34" s="28"/>
      <c r="T34" s="444"/>
      <c r="U34" s="444"/>
      <c r="V34" s="444"/>
      <c r="W34" s="444"/>
      <c r="X34" s="444"/>
      <c r="Y34" s="444"/>
      <c r="Z34" s="444"/>
      <c r="AA34" s="444"/>
      <c r="AB34" s="444"/>
      <c r="AC34" s="444"/>
      <c r="AD34" s="444"/>
      <c r="AE34" s="444"/>
      <c r="AF34" s="444"/>
      <c r="AG34" s="444"/>
      <c r="AH34" s="444"/>
      <c r="AI34" s="444"/>
      <c r="AJ34" s="444"/>
      <c r="AK34" s="444"/>
      <c r="AL34" s="444"/>
      <c r="AM34" s="444"/>
      <c r="AN34" s="444"/>
      <c r="AO34" s="444"/>
      <c r="AP34" s="444"/>
      <c r="AQ34" s="443"/>
      <c r="AR34" s="443"/>
      <c r="AS34" s="443"/>
    </row>
    <row r="35" spans="2:45" ht="15" customHeight="1" x14ac:dyDescent="0.25">
      <c r="B35" s="5"/>
      <c r="C35" s="6"/>
      <c r="D35" s="6"/>
      <c r="E35" s="6"/>
      <c r="F35" s="6"/>
      <c r="G35" s="6"/>
      <c r="H35" s="6"/>
      <c r="I35" s="6"/>
      <c r="J35" s="6"/>
      <c r="K35" s="6"/>
      <c r="L35" s="6"/>
      <c r="M35" s="6"/>
      <c r="N35" s="6"/>
      <c r="O35" s="6"/>
      <c r="P35" s="6"/>
      <c r="Q35" s="6"/>
      <c r="R35" s="6"/>
      <c r="S35" s="28"/>
      <c r="T35" s="444"/>
      <c r="U35" s="444"/>
      <c r="V35" s="444"/>
      <c r="W35" s="444"/>
      <c r="X35" s="444"/>
      <c r="Y35" s="444"/>
      <c r="Z35" s="444"/>
      <c r="AA35" s="444"/>
      <c r="AB35" s="444"/>
      <c r="AC35" s="444"/>
      <c r="AD35" s="444"/>
      <c r="AE35" s="444"/>
      <c r="AF35" s="444"/>
      <c r="AG35" s="444"/>
      <c r="AH35" s="444"/>
      <c r="AI35" s="444"/>
      <c r="AJ35" s="444"/>
      <c r="AK35" s="444"/>
      <c r="AL35" s="444"/>
      <c r="AM35" s="444"/>
      <c r="AN35" s="444"/>
      <c r="AO35" s="444"/>
      <c r="AP35" s="444"/>
      <c r="AQ35" s="443"/>
      <c r="AR35" s="443"/>
      <c r="AS35" s="443"/>
    </row>
    <row r="36" spans="2:45" ht="15" customHeight="1" x14ac:dyDescent="0.25">
      <c r="B36" s="5"/>
      <c r="C36" s="6"/>
      <c r="D36" s="6"/>
      <c r="E36" s="6"/>
      <c r="F36" s="6"/>
      <c r="G36" s="6"/>
      <c r="H36" s="6"/>
      <c r="I36" s="6"/>
      <c r="J36" s="6"/>
      <c r="K36" s="6"/>
      <c r="L36" s="6"/>
      <c r="M36" s="6"/>
      <c r="N36" s="6"/>
      <c r="O36" s="6"/>
      <c r="P36" s="6"/>
      <c r="Q36" s="6"/>
      <c r="R36" s="6"/>
      <c r="S36" s="28"/>
      <c r="T36" s="444"/>
      <c r="U36" s="444"/>
      <c r="V36" s="444"/>
      <c r="W36" s="444"/>
      <c r="X36" s="444"/>
      <c r="Y36" s="444"/>
      <c r="Z36" s="444"/>
      <c r="AA36" s="444"/>
      <c r="AB36" s="444"/>
      <c r="AC36" s="444"/>
      <c r="AD36" s="444"/>
      <c r="AE36" s="444"/>
      <c r="AF36" s="444"/>
      <c r="AG36" s="444"/>
      <c r="AH36" s="444"/>
      <c r="AI36" s="444"/>
      <c r="AJ36" s="444"/>
      <c r="AK36" s="444"/>
      <c r="AL36" s="444"/>
      <c r="AM36" s="444"/>
      <c r="AN36" s="444"/>
      <c r="AO36" s="444"/>
      <c r="AP36" s="444"/>
      <c r="AQ36" s="443"/>
      <c r="AR36" s="443"/>
      <c r="AS36" s="443"/>
    </row>
    <row r="37" spans="2:45" ht="15" customHeight="1" x14ac:dyDescent="0.25">
      <c r="B37" s="5"/>
      <c r="C37" s="6"/>
      <c r="D37" s="6"/>
      <c r="E37" s="6"/>
      <c r="F37" s="6"/>
      <c r="G37" s="6"/>
      <c r="H37" s="6"/>
      <c r="I37" s="6"/>
      <c r="J37" s="6"/>
      <c r="K37" s="6"/>
      <c r="L37" s="6"/>
      <c r="M37" s="6"/>
      <c r="N37" s="6"/>
      <c r="O37" s="6"/>
      <c r="P37" s="6"/>
      <c r="Q37" s="6"/>
      <c r="R37" s="6"/>
      <c r="S37" s="28"/>
      <c r="T37" s="444"/>
      <c r="U37" s="444"/>
      <c r="V37" s="444"/>
      <c r="W37" s="444"/>
      <c r="X37" s="444"/>
      <c r="Y37" s="444"/>
      <c r="Z37" s="444"/>
      <c r="AA37" s="444"/>
      <c r="AB37" s="444"/>
      <c r="AC37" s="444"/>
      <c r="AD37" s="444"/>
      <c r="AE37" s="444"/>
      <c r="AF37" s="444"/>
      <c r="AG37" s="444"/>
      <c r="AH37" s="444"/>
      <c r="AI37" s="444"/>
      <c r="AJ37" s="444"/>
      <c r="AK37" s="444"/>
      <c r="AL37" s="444"/>
      <c r="AM37" s="444"/>
      <c r="AN37" s="444"/>
      <c r="AO37" s="444"/>
      <c r="AP37" s="444"/>
      <c r="AQ37" s="443"/>
      <c r="AR37" s="443"/>
      <c r="AS37" s="443"/>
    </row>
    <row r="38" spans="2:45" ht="15" customHeight="1" x14ac:dyDescent="0.25">
      <c r="B38" s="5"/>
      <c r="C38" s="6"/>
      <c r="D38" s="6"/>
      <c r="E38" s="6"/>
      <c r="F38" s="6"/>
      <c r="G38" s="6"/>
      <c r="H38" s="6"/>
      <c r="I38" s="6"/>
      <c r="J38" s="6"/>
      <c r="K38" s="6"/>
      <c r="L38" s="6"/>
      <c r="M38" s="6"/>
      <c r="N38" s="6"/>
      <c r="O38" s="6"/>
      <c r="P38" s="6"/>
      <c r="Q38" s="6"/>
      <c r="R38" s="6"/>
      <c r="S38" s="28"/>
      <c r="T38" s="444"/>
      <c r="U38" s="444"/>
      <c r="V38" s="444">
        <v>50</v>
      </c>
      <c r="W38" s="444"/>
      <c r="X38" s="444"/>
      <c r="Y38" s="444"/>
      <c r="Z38" s="444"/>
      <c r="AA38" s="444"/>
      <c r="AB38" s="444"/>
      <c r="AC38" s="444"/>
      <c r="AD38" s="444"/>
      <c r="AE38" s="444"/>
      <c r="AF38" s="444"/>
      <c r="AG38" s="444"/>
      <c r="AH38" s="444"/>
      <c r="AI38" s="444"/>
      <c r="AJ38" s="444"/>
      <c r="AK38" s="444"/>
      <c r="AL38" s="444"/>
      <c r="AM38" s="444"/>
      <c r="AN38" s="444"/>
      <c r="AO38" s="444"/>
      <c r="AP38" s="444"/>
      <c r="AQ38" s="443"/>
      <c r="AR38" s="443"/>
      <c r="AS38" s="443"/>
    </row>
    <row r="39" spans="2:45" ht="15" customHeight="1" x14ac:dyDescent="0.25">
      <c r="B39" s="5"/>
      <c r="C39" s="229" t="s">
        <v>193</v>
      </c>
      <c r="D39" s="266"/>
      <c r="E39" s="247"/>
      <c r="F39" s="44"/>
      <c r="G39" s="229" t="s">
        <v>67</v>
      </c>
      <c r="H39" s="248"/>
      <c r="I39" s="6"/>
      <c r="J39" s="6"/>
      <c r="K39" s="6"/>
      <c r="L39" s="6"/>
      <c r="M39" s="6"/>
      <c r="N39" s="6"/>
      <c r="O39" s="6"/>
      <c r="P39" s="6"/>
      <c r="Q39" s="6"/>
      <c r="R39" s="6"/>
      <c r="S39" s="28"/>
      <c r="T39" s="444"/>
      <c r="U39" s="444"/>
      <c r="V39" s="444">
        <v>75</v>
      </c>
      <c r="W39" s="444"/>
      <c r="X39" s="444"/>
      <c r="Y39" s="444"/>
      <c r="Z39" s="444"/>
      <c r="AA39" s="444"/>
      <c r="AB39" s="444"/>
      <c r="AC39" s="444"/>
      <c r="AD39" s="444"/>
      <c r="AE39" s="444"/>
      <c r="AF39" s="444"/>
      <c r="AG39" s="444"/>
      <c r="AH39" s="444"/>
      <c r="AI39" s="444"/>
      <c r="AJ39" s="444"/>
      <c r="AK39" s="444"/>
      <c r="AL39" s="444"/>
      <c r="AM39" s="444"/>
      <c r="AN39" s="444"/>
      <c r="AO39" s="444"/>
      <c r="AP39" s="444"/>
      <c r="AQ39" s="443"/>
      <c r="AR39" s="443"/>
      <c r="AS39" s="443"/>
    </row>
    <row r="40" spans="2:45" ht="15" customHeight="1" x14ac:dyDescent="0.25">
      <c r="B40" s="5"/>
      <c r="C40" s="11"/>
      <c r="D40" s="31"/>
      <c r="E40" s="31"/>
      <c r="F40" s="248"/>
      <c r="G40" s="229"/>
      <c r="H40" s="248"/>
      <c r="I40" s="6"/>
      <c r="J40" s="6"/>
      <c r="K40" s="6"/>
      <c r="L40" s="6"/>
      <c r="M40" s="6"/>
      <c r="N40" s="6"/>
      <c r="O40" s="6"/>
      <c r="P40" s="6"/>
      <c r="Q40" s="6"/>
      <c r="R40" s="6"/>
      <c r="S40" s="28"/>
      <c r="T40" s="444"/>
      <c r="U40" s="444"/>
      <c r="V40" s="444">
        <v>100</v>
      </c>
      <c r="W40" s="444"/>
      <c r="X40" s="444"/>
      <c r="Y40" s="444"/>
      <c r="Z40" s="444"/>
      <c r="AA40" s="444"/>
      <c r="AB40" s="444"/>
      <c r="AC40" s="444"/>
      <c r="AD40" s="444"/>
      <c r="AE40" s="444"/>
      <c r="AF40" s="444"/>
      <c r="AG40" s="444"/>
      <c r="AH40" s="444"/>
      <c r="AI40" s="444"/>
      <c r="AJ40" s="444"/>
      <c r="AK40" s="444"/>
      <c r="AL40" s="444"/>
      <c r="AM40" s="444"/>
      <c r="AN40" s="444"/>
      <c r="AO40" s="444"/>
      <c r="AP40" s="444"/>
      <c r="AQ40" s="443"/>
      <c r="AR40" s="443"/>
      <c r="AS40" s="443"/>
    </row>
    <row r="41" spans="2:45" ht="15" customHeight="1" x14ac:dyDescent="0.25">
      <c r="B41" s="5"/>
      <c r="C41" s="249" t="s">
        <v>62</v>
      </c>
      <c r="D41" s="266"/>
      <c r="E41" s="250"/>
      <c r="F41" s="558" t="s">
        <v>79</v>
      </c>
      <c r="G41" s="559"/>
      <c r="H41" s="560"/>
      <c r="I41" s="6"/>
      <c r="J41" s="44"/>
      <c r="K41" s="31"/>
      <c r="L41" s="6"/>
      <c r="M41" s="6"/>
      <c r="N41" s="6"/>
      <c r="O41" s="6"/>
      <c r="P41" s="6"/>
      <c r="Q41" s="6"/>
      <c r="R41" s="6"/>
      <c r="S41" s="28"/>
      <c r="T41" s="444"/>
      <c r="U41" s="444"/>
      <c r="V41" s="444"/>
      <c r="W41" s="444"/>
      <c r="X41" s="444"/>
      <c r="Y41" s="444"/>
      <c r="Z41" s="444"/>
      <c r="AA41" s="444"/>
      <c r="AB41" s="444"/>
      <c r="AC41" s="444"/>
      <c r="AD41" s="444"/>
      <c r="AE41" s="444"/>
      <c r="AF41" s="444"/>
      <c r="AG41" s="444"/>
      <c r="AH41" s="444"/>
      <c r="AI41" s="444"/>
      <c r="AJ41" s="444"/>
      <c r="AK41" s="444"/>
      <c r="AL41" s="444"/>
      <c r="AM41" s="444"/>
      <c r="AN41" s="444"/>
      <c r="AO41" s="444"/>
      <c r="AP41" s="444"/>
      <c r="AQ41" s="443"/>
      <c r="AR41" s="443"/>
      <c r="AS41" s="443"/>
    </row>
    <row r="42" spans="2:45" ht="15" customHeight="1" x14ac:dyDescent="0.25">
      <c r="B42" s="5"/>
      <c r="C42" s="11"/>
      <c r="D42" s="31"/>
      <c r="E42" s="31"/>
      <c r="F42" s="248"/>
      <c r="G42" s="229"/>
      <c r="H42" s="248"/>
      <c r="I42" s="6"/>
      <c r="J42" s="6"/>
      <c r="K42" s="6"/>
      <c r="L42" s="6"/>
      <c r="M42" s="6"/>
      <c r="N42" s="6"/>
      <c r="O42" s="6"/>
      <c r="P42" s="6"/>
      <c r="Q42" s="6"/>
      <c r="R42" s="6"/>
      <c r="S42" s="28"/>
      <c r="T42" s="444"/>
      <c r="U42" s="444"/>
      <c r="V42" s="444"/>
      <c r="W42" s="444"/>
      <c r="X42" s="444"/>
      <c r="Y42" s="444"/>
      <c r="Z42" s="444"/>
      <c r="AA42" s="444"/>
      <c r="AB42" s="444"/>
      <c r="AC42" s="444"/>
      <c r="AD42" s="444"/>
      <c r="AE42" s="444"/>
      <c r="AF42" s="444"/>
      <c r="AG42" s="444"/>
      <c r="AH42" s="444"/>
      <c r="AI42" s="444"/>
      <c r="AJ42" s="444"/>
      <c r="AK42" s="444"/>
      <c r="AL42" s="444"/>
      <c r="AM42" s="444"/>
      <c r="AN42" s="444"/>
      <c r="AO42" s="444"/>
      <c r="AP42" s="444"/>
      <c r="AQ42" s="443"/>
      <c r="AR42" s="443"/>
      <c r="AS42" s="443"/>
    </row>
    <row r="43" spans="2:45" ht="15" customHeight="1" x14ac:dyDescent="0.25">
      <c r="B43" s="5"/>
      <c r="C43" s="229" t="s">
        <v>64</v>
      </c>
      <c r="D43" s="229"/>
      <c r="E43" s="247"/>
      <c r="F43" s="44"/>
      <c r="G43" s="229" t="s">
        <v>65</v>
      </c>
      <c r="H43" s="248"/>
      <c r="I43" s="266"/>
      <c r="J43" s="48" t="s">
        <v>66</v>
      </c>
      <c r="K43" s="48"/>
      <c r="L43" s="48"/>
      <c r="M43" s="266"/>
      <c r="N43" s="266"/>
      <c r="O43" s="6"/>
      <c r="P43" s="6"/>
      <c r="Q43" s="47">
        <f>IF(F41="Wind Load Custom",J41,ABS('BS6399-2 Standard Method'!L56))</f>
        <v>0</v>
      </c>
      <c r="R43" s="48" t="s">
        <v>67</v>
      </c>
      <c r="S43" s="28"/>
      <c r="T43" s="444"/>
      <c r="U43" s="444"/>
      <c r="V43" s="444"/>
      <c r="W43" s="444"/>
      <c r="X43" s="444"/>
      <c r="Y43" s="444"/>
      <c r="Z43" s="444"/>
      <c r="AA43" s="444"/>
      <c r="AB43" s="444"/>
      <c r="AC43" s="444"/>
      <c r="AD43" s="444"/>
      <c r="AE43" s="444"/>
      <c r="AF43" s="444"/>
      <c r="AG43" s="444"/>
      <c r="AH43" s="444"/>
      <c r="AI43" s="444"/>
      <c r="AJ43" s="444"/>
      <c r="AK43" s="444"/>
      <c r="AL43" s="444"/>
      <c r="AM43" s="444"/>
      <c r="AN43" s="444"/>
      <c r="AO43" s="444"/>
      <c r="AP43" s="444"/>
      <c r="AQ43" s="443"/>
      <c r="AR43" s="443"/>
      <c r="AS43" s="443"/>
    </row>
    <row r="44" spans="2:45" ht="15" customHeight="1" x14ac:dyDescent="0.25">
      <c r="B44" s="5"/>
      <c r="C44" s="229"/>
      <c r="D44" s="229"/>
      <c r="E44" s="31"/>
      <c r="F44" s="248"/>
      <c r="G44" s="229"/>
      <c r="H44" s="248"/>
      <c r="I44" s="6"/>
      <c r="J44" s="6"/>
      <c r="K44" s="6"/>
      <c r="L44" s="6"/>
      <c r="M44" s="6"/>
      <c r="N44" s="6"/>
      <c r="O44" s="6"/>
      <c r="P44" s="6"/>
      <c r="Q44" s="6"/>
      <c r="R44" s="6"/>
      <c r="S44" s="28"/>
      <c r="T44" s="444"/>
      <c r="U44" s="444"/>
      <c r="V44" s="444"/>
      <c r="W44" s="444"/>
      <c r="X44" s="444"/>
      <c r="Y44" s="444"/>
      <c r="Z44" s="444"/>
      <c r="AA44" s="444"/>
      <c r="AB44" s="444"/>
      <c r="AC44" s="444"/>
      <c r="AD44" s="444"/>
      <c r="AE44" s="444"/>
      <c r="AF44" s="444"/>
      <c r="AG44" s="444"/>
      <c r="AH44" s="444"/>
      <c r="AI44" s="444"/>
      <c r="AJ44" s="444"/>
      <c r="AK44" s="444"/>
      <c r="AL44" s="444"/>
      <c r="AM44" s="444"/>
      <c r="AN44" s="444"/>
      <c r="AO44" s="444"/>
      <c r="AP44" s="444"/>
      <c r="AQ44" s="443"/>
      <c r="AR44" s="443"/>
      <c r="AS44" s="443"/>
    </row>
    <row r="45" spans="2:45" ht="15" customHeight="1" x14ac:dyDescent="0.25">
      <c r="B45" s="5"/>
      <c r="C45" s="229" t="s">
        <v>68</v>
      </c>
      <c r="D45" s="229"/>
      <c r="E45" s="247"/>
      <c r="F45" s="44"/>
      <c r="G45" s="229" t="s">
        <v>65</v>
      </c>
      <c r="H45" s="248"/>
      <c r="I45" s="228"/>
      <c r="J45" s="228"/>
      <c r="K45" s="228"/>
      <c r="L45" s="228"/>
      <c r="M45" s="228"/>
      <c r="N45" s="251"/>
      <c r="O45" s="251"/>
      <c r="P45" s="251"/>
      <c r="Q45" s="251"/>
      <c r="R45" s="251"/>
      <c r="S45" s="28"/>
      <c r="T45" s="444"/>
      <c r="U45" s="444"/>
      <c r="V45" s="444"/>
      <c r="W45" s="444"/>
      <c r="X45" s="444"/>
      <c r="Y45" s="444"/>
      <c r="Z45" s="444"/>
      <c r="AA45" s="444"/>
      <c r="AB45" s="444"/>
      <c r="AC45" s="444"/>
      <c r="AD45" s="444"/>
      <c r="AE45" s="444"/>
      <c r="AF45" s="444"/>
      <c r="AG45" s="444"/>
      <c r="AH45" s="444"/>
      <c r="AI45" s="444"/>
      <c r="AJ45" s="444"/>
      <c r="AK45" s="444"/>
      <c r="AL45" s="444"/>
      <c r="AM45" s="444"/>
      <c r="AN45" s="444"/>
      <c r="AO45" s="444"/>
      <c r="AP45" s="444"/>
      <c r="AQ45" s="443"/>
      <c r="AR45" s="443"/>
      <c r="AS45" s="443"/>
    </row>
    <row r="46" spans="2:45" ht="15" customHeight="1" x14ac:dyDescent="0.25">
      <c r="B46" s="5"/>
      <c r="C46" s="229"/>
      <c r="D46" s="229"/>
      <c r="E46" s="31"/>
      <c r="F46" s="248"/>
      <c r="G46" s="229"/>
      <c r="H46" s="248"/>
      <c r="I46" s="228"/>
      <c r="J46" s="228"/>
      <c r="K46" s="228"/>
      <c r="L46" s="229"/>
      <c r="M46" s="228"/>
      <c r="N46" s="251"/>
      <c r="O46" s="251"/>
      <c r="P46" s="251"/>
      <c r="Q46" s="251"/>
      <c r="R46" s="251"/>
      <c r="S46" s="28"/>
      <c r="T46" s="444"/>
      <c r="U46" s="444"/>
      <c r="V46" s="444"/>
      <c r="W46" s="444"/>
      <c r="X46" s="444"/>
      <c r="Y46" s="444"/>
      <c r="Z46" s="444"/>
      <c r="AA46" s="444"/>
      <c r="AB46" s="444"/>
      <c r="AC46" s="444"/>
      <c r="AD46" s="444"/>
      <c r="AE46" s="444"/>
      <c r="AF46" s="444"/>
      <c r="AG46" s="444"/>
      <c r="AH46" s="444"/>
      <c r="AI46" s="444"/>
      <c r="AJ46" s="444"/>
      <c r="AK46" s="444"/>
      <c r="AL46" s="444"/>
      <c r="AM46" s="444"/>
      <c r="AN46" s="444"/>
      <c r="AO46" s="444"/>
      <c r="AP46" s="444"/>
      <c r="AQ46" s="443"/>
      <c r="AR46" s="443"/>
      <c r="AS46" s="443"/>
    </row>
    <row r="47" spans="2:45" ht="15" customHeight="1" x14ac:dyDescent="0.25">
      <c r="B47" s="5"/>
      <c r="C47" s="229" t="s">
        <v>194</v>
      </c>
      <c r="D47" s="229"/>
      <c r="E47" s="247"/>
      <c r="F47" s="44"/>
      <c r="G47" s="229" t="s">
        <v>65</v>
      </c>
      <c r="H47" s="248"/>
      <c r="I47" s="228"/>
      <c r="J47" s="228"/>
      <c r="K47" s="228"/>
      <c r="L47" s="228"/>
      <c r="M47" s="228"/>
      <c r="N47" s="251"/>
      <c r="O47" s="251"/>
      <c r="P47" s="251"/>
      <c r="Q47" s="251"/>
      <c r="R47" s="251"/>
      <c r="S47" s="28"/>
      <c r="T47" s="444"/>
      <c r="U47" s="444"/>
      <c r="V47" s="444"/>
      <c r="W47" s="444"/>
      <c r="X47" s="444"/>
      <c r="Y47" s="444"/>
      <c r="Z47" s="444"/>
      <c r="AA47" s="444"/>
      <c r="AB47" s="444"/>
      <c r="AC47" s="444"/>
      <c r="AD47" s="444"/>
      <c r="AE47" s="444"/>
      <c r="AF47" s="444"/>
      <c r="AG47" s="444"/>
      <c r="AH47" s="444"/>
      <c r="AI47" s="444"/>
      <c r="AJ47" s="444"/>
      <c r="AK47" s="444"/>
      <c r="AL47" s="444"/>
      <c r="AM47" s="444"/>
      <c r="AN47" s="444"/>
      <c r="AO47" s="444"/>
      <c r="AP47" s="444"/>
      <c r="AQ47" s="443"/>
      <c r="AR47" s="443"/>
      <c r="AS47" s="443"/>
    </row>
    <row r="48" spans="2:45" ht="15" customHeight="1" x14ac:dyDescent="0.25">
      <c r="B48" s="5"/>
      <c r="C48" s="229"/>
      <c r="D48" s="229"/>
      <c r="E48" s="31"/>
      <c r="F48" s="248"/>
      <c r="G48" s="229"/>
      <c r="H48" s="248"/>
      <c r="I48" s="6"/>
      <c r="J48" s="252" t="s">
        <v>195</v>
      </c>
      <c r="K48" s="266"/>
      <c r="L48" s="252"/>
      <c r="M48" s="229"/>
      <c r="N48" s="6"/>
      <c r="O48" s="6"/>
      <c r="P48" s="6"/>
      <c r="Q48" s="6"/>
      <c r="R48" s="6"/>
      <c r="S48" s="28"/>
      <c r="T48" s="444"/>
      <c r="U48" s="444">
        <v>50</v>
      </c>
      <c r="V48" s="444"/>
      <c r="W48" s="444"/>
      <c r="X48" s="444"/>
      <c r="Y48" s="444"/>
      <c r="Z48" s="444"/>
      <c r="AA48" s="444"/>
      <c r="AB48" s="444"/>
      <c r="AC48" s="444"/>
      <c r="AD48" s="444"/>
      <c r="AE48" s="444"/>
      <c r="AF48" s="444"/>
      <c r="AG48" s="444"/>
      <c r="AH48" s="444"/>
      <c r="AI48" s="444"/>
      <c r="AJ48" s="444"/>
      <c r="AK48" s="444"/>
      <c r="AL48" s="444"/>
      <c r="AM48" s="444"/>
      <c r="AN48" s="444"/>
      <c r="AO48" s="444"/>
      <c r="AP48" s="444"/>
      <c r="AQ48" s="443"/>
      <c r="AR48" s="443"/>
      <c r="AS48" s="443"/>
    </row>
    <row r="49" spans="2:45" ht="15" customHeight="1" x14ac:dyDescent="0.25">
      <c r="B49" s="5"/>
      <c r="C49" s="229" t="s">
        <v>196</v>
      </c>
      <c r="D49" s="229"/>
      <c r="E49" s="247"/>
      <c r="F49" s="44">
        <v>50</v>
      </c>
      <c r="G49" s="229" t="s">
        <v>65</v>
      </c>
      <c r="H49" s="248"/>
      <c r="I49" s="6"/>
      <c r="J49" s="561" t="s">
        <v>197</v>
      </c>
      <c r="K49" s="562"/>
      <c r="L49" s="562"/>
      <c r="M49" s="562"/>
      <c r="N49" s="562"/>
      <c r="O49" s="562"/>
      <c r="P49" s="563"/>
      <c r="Q49" s="6"/>
      <c r="R49" s="6"/>
      <c r="S49" s="28"/>
      <c r="T49" s="444"/>
      <c r="U49" s="444">
        <v>75</v>
      </c>
      <c r="V49" s="444"/>
      <c r="W49" s="444"/>
      <c r="X49" s="444"/>
      <c r="Y49" s="444"/>
      <c r="Z49" s="444"/>
      <c r="AA49" s="444"/>
      <c r="AB49" s="444"/>
      <c r="AC49" s="444"/>
      <c r="AD49" s="444"/>
      <c r="AE49" s="444"/>
      <c r="AF49" s="444"/>
      <c r="AG49" s="444"/>
      <c r="AH49" s="444"/>
      <c r="AI49" s="444"/>
      <c r="AJ49" s="444"/>
      <c r="AK49" s="444"/>
      <c r="AL49" s="444"/>
      <c r="AM49" s="444"/>
      <c r="AN49" s="444"/>
      <c r="AO49" s="444"/>
      <c r="AP49" s="444"/>
      <c r="AQ49" s="443"/>
      <c r="AR49" s="443"/>
      <c r="AS49" s="443"/>
    </row>
    <row r="50" spans="2:45" ht="15" customHeight="1" x14ac:dyDescent="0.25">
      <c r="B50" s="5"/>
      <c r="C50" s="11"/>
      <c r="D50" s="31"/>
      <c r="E50" s="31"/>
      <c r="F50" s="31"/>
      <c r="G50" s="31"/>
      <c r="H50" s="31"/>
      <c r="I50" s="6"/>
      <c r="J50" s="6"/>
      <c r="K50" s="6"/>
      <c r="L50" s="6"/>
      <c r="M50" s="6"/>
      <c r="N50" s="6"/>
      <c r="O50" s="6"/>
      <c r="P50" s="6"/>
      <c r="Q50" s="6"/>
      <c r="R50" s="6"/>
      <c r="S50" s="28"/>
      <c r="T50" s="444"/>
      <c r="U50" s="444">
        <v>100</v>
      </c>
      <c r="V50" s="444"/>
      <c r="W50" s="444"/>
      <c r="X50" s="444"/>
      <c r="Y50" s="444"/>
      <c r="Z50" s="444"/>
      <c r="AA50" s="444"/>
      <c r="AB50" s="444"/>
      <c r="AC50" s="444"/>
      <c r="AD50" s="444"/>
      <c r="AE50" s="444"/>
      <c r="AF50" s="444"/>
      <c r="AG50" s="444"/>
      <c r="AH50" s="444"/>
      <c r="AI50" s="444"/>
      <c r="AJ50" s="444"/>
      <c r="AK50" s="444"/>
      <c r="AL50" s="444"/>
      <c r="AM50" s="444"/>
      <c r="AN50" s="444"/>
      <c r="AO50" s="444"/>
      <c r="AP50" s="444"/>
      <c r="AQ50" s="443"/>
      <c r="AR50" s="443"/>
      <c r="AS50" s="443"/>
    </row>
    <row r="51" spans="2:45" ht="15" customHeight="1" x14ac:dyDescent="0.25">
      <c r="B51" s="5"/>
      <c r="C51" s="229" t="s">
        <v>209</v>
      </c>
      <c r="D51" s="266"/>
      <c r="E51" s="247"/>
      <c r="F51" s="248"/>
      <c r="G51" s="248"/>
      <c r="H51" s="266"/>
      <c r="I51" s="6"/>
      <c r="J51" s="6"/>
      <c r="K51" s="6"/>
      <c r="L51" s="6"/>
      <c r="M51" s="6"/>
      <c r="N51" s="6"/>
      <c r="O51" s="6"/>
      <c r="P51" s="6"/>
      <c r="Q51" s="266"/>
      <c r="R51" s="6"/>
      <c r="S51" s="28"/>
      <c r="T51" s="444"/>
      <c r="U51" s="444"/>
      <c r="V51" s="444"/>
      <c r="W51" s="444"/>
      <c r="X51" s="444"/>
      <c r="Y51" s="444"/>
      <c r="Z51" s="444"/>
      <c r="AA51" s="444"/>
      <c r="AB51" s="444"/>
      <c r="AC51" s="444"/>
      <c r="AD51" s="444"/>
      <c r="AE51" s="444"/>
      <c r="AF51" s="444"/>
      <c r="AG51" s="444"/>
      <c r="AH51" s="444"/>
      <c r="AI51" s="444"/>
      <c r="AJ51" s="444"/>
      <c r="AK51" s="444"/>
      <c r="AL51" s="444"/>
      <c r="AM51" s="444"/>
      <c r="AN51" s="444"/>
      <c r="AO51" s="444"/>
      <c r="AP51" s="444"/>
      <c r="AQ51" s="443"/>
      <c r="AR51" s="443"/>
      <c r="AS51" s="443"/>
    </row>
    <row r="52" spans="2:45" ht="15" customHeight="1" x14ac:dyDescent="0.3">
      <c r="B52" s="5"/>
      <c r="C52" s="229" t="s">
        <v>210</v>
      </c>
      <c r="D52" s="253"/>
      <c r="E52" s="253"/>
      <c r="F52" s="254">
        <f>AA7*1000</f>
        <v>0</v>
      </c>
      <c r="G52" s="31" t="s">
        <v>65</v>
      </c>
      <c r="H52" s="31"/>
      <c r="I52" s="31"/>
      <c r="J52" s="267" t="s">
        <v>198</v>
      </c>
      <c r="K52" s="267"/>
      <c r="L52" s="267"/>
      <c r="M52" s="255" t="e">
        <f>AH19</f>
        <v>#DIV/0!</v>
      </c>
      <c r="N52" s="255"/>
      <c r="O52" s="255"/>
      <c r="P52" s="255"/>
      <c r="Q52" s="255"/>
      <c r="R52" s="6"/>
      <c r="S52" s="28"/>
      <c r="T52" s="444"/>
      <c r="U52" s="444"/>
      <c r="V52" s="444"/>
      <c r="W52" s="444"/>
      <c r="X52" s="444"/>
      <c r="Y52" s="444"/>
      <c r="Z52" s="444"/>
      <c r="AA52" s="444"/>
      <c r="AB52" s="444"/>
      <c r="AC52" s="444"/>
      <c r="AD52" s="444"/>
      <c r="AE52" s="444"/>
      <c r="AF52" s="444"/>
      <c r="AG52" s="444"/>
      <c r="AH52" s="444"/>
      <c r="AI52" s="444"/>
      <c r="AJ52" s="444"/>
      <c r="AK52" s="444"/>
      <c r="AL52" s="444"/>
      <c r="AM52" s="444"/>
      <c r="AN52" s="444"/>
      <c r="AO52" s="444"/>
      <c r="AP52" s="444"/>
      <c r="AQ52" s="443"/>
      <c r="AR52" s="443"/>
      <c r="AS52" s="443"/>
    </row>
    <row r="53" spans="2:45" ht="15" customHeight="1" x14ac:dyDescent="0.25">
      <c r="B53" s="5"/>
      <c r="C53" s="31"/>
      <c r="D53" s="31"/>
      <c r="E53" s="31"/>
      <c r="F53" s="31"/>
      <c r="G53" s="31"/>
      <c r="H53" s="31"/>
      <c r="I53" s="6"/>
      <c r="J53" s="51"/>
      <c r="K53" s="256"/>
      <c r="L53" s="256"/>
      <c r="M53" s="257"/>
      <c r="N53" s="52"/>
      <c r="O53" s="258"/>
      <c r="P53" s="259"/>
      <c r="Q53" s="6"/>
      <c r="R53" s="6"/>
      <c r="S53" s="28"/>
      <c r="T53" s="444"/>
      <c r="U53" s="444"/>
      <c r="V53" s="444"/>
      <c r="W53" s="444"/>
      <c r="X53" s="444"/>
      <c r="Y53" s="444"/>
      <c r="Z53" s="444"/>
      <c r="AA53" s="444"/>
      <c r="AB53" s="444"/>
      <c r="AC53" s="444"/>
      <c r="AD53" s="444"/>
      <c r="AE53" s="444"/>
      <c r="AF53" s="444"/>
      <c r="AG53" s="444"/>
      <c r="AH53" s="444"/>
      <c r="AI53" s="444"/>
      <c r="AJ53" s="444"/>
      <c r="AK53" s="444"/>
      <c r="AL53" s="444"/>
      <c r="AM53" s="444"/>
      <c r="AN53" s="444"/>
      <c r="AO53" s="444"/>
      <c r="AP53" s="444"/>
      <c r="AQ53" s="443"/>
      <c r="AR53" s="443"/>
      <c r="AS53" s="443"/>
    </row>
    <row r="54" spans="2:45" ht="15" customHeight="1" x14ac:dyDescent="0.25">
      <c r="B54" s="5"/>
      <c r="C54" s="268" t="str">
        <f>IF(F49&lt;100,"Fabricator to check with unit supplier that the glass specification","")</f>
        <v>Fabricator to check with unit supplier that the glass specification</v>
      </c>
      <c r="D54" s="247"/>
      <c r="E54" s="247"/>
      <c r="F54" s="260"/>
      <c r="G54" s="260"/>
      <c r="H54" s="31"/>
      <c r="I54" s="31"/>
      <c r="J54" s="248" t="s">
        <v>199</v>
      </c>
      <c r="K54" s="261"/>
      <c r="L54" s="261"/>
      <c r="M54" s="31"/>
      <c r="N54" s="452" t="e">
        <f>AI19</f>
        <v>#DIV/0!</v>
      </c>
      <c r="O54" s="6" t="s">
        <v>16</v>
      </c>
      <c r="P54" s="262"/>
      <c r="Q54" s="6"/>
      <c r="R54" s="6"/>
      <c r="S54" s="28"/>
      <c r="T54" s="444"/>
      <c r="U54" s="444"/>
      <c r="V54" s="444"/>
      <c r="W54" s="444"/>
      <c r="X54" s="444"/>
      <c r="Y54" s="444"/>
      <c r="Z54" s="444"/>
      <c r="AA54" s="444"/>
      <c r="AB54" s="444"/>
      <c r="AC54" s="444"/>
      <c r="AD54" s="444"/>
      <c r="AE54" s="444"/>
      <c r="AF54" s="444"/>
      <c r="AG54" s="444"/>
      <c r="AH54" s="444"/>
      <c r="AI54" s="444"/>
      <c r="AJ54" s="444"/>
      <c r="AK54" s="444"/>
      <c r="AL54" s="444"/>
      <c r="AM54" s="444"/>
      <c r="AN54" s="444"/>
      <c r="AO54" s="444"/>
      <c r="AP54" s="444"/>
      <c r="AQ54" s="443"/>
      <c r="AR54" s="443"/>
      <c r="AS54" s="443"/>
    </row>
    <row r="55" spans="2:45" ht="15" customHeight="1" x14ac:dyDescent="0.25">
      <c r="B55" s="5"/>
      <c r="C55" s="236" t="str">
        <f>IF(F49&lt;100,"is suitable for use with glazing supports in this position","")</f>
        <v>is suitable for use with glazing supports in this position</v>
      </c>
      <c r="D55" s="31"/>
      <c r="E55" s="31"/>
      <c r="F55" s="31"/>
      <c r="G55" s="31"/>
      <c r="H55" s="31"/>
      <c r="I55" s="31"/>
      <c r="J55" s="263"/>
      <c r="K55" s="51"/>
      <c r="L55" s="51"/>
      <c r="M55" s="256"/>
      <c r="N55" s="52"/>
      <c r="O55" s="51"/>
      <c r="P55" s="6"/>
      <c r="Q55" s="6"/>
      <c r="R55" s="6"/>
      <c r="S55" s="28"/>
      <c r="T55" s="444"/>
      <c r="U55" s="444"/>
      <c r="V55" s="444"/>
      <c r="W55" s="444"/>
      <c r="X55" s="444"/>
      <c r="Y55" s="444"/>
      <c r="Z55" s="444"/>
      <c r="AA55" s="444"/>
      <c r="AB55" s="444"/>
      <c r="AC55" s="444"/>
      <c r="AD55" s="444"/>
      <c r="AE55" s="444"/>
      <c r="AF55" s="444"/>
      <c r="AG55" s="444"/>
      <c r="AH55" s="444"/>
      <c r="AI55" s="444"/>
      <c r="AJ55" s="444"/>
      <c r="AK55" s="444"/>
      <c r="AL55" s="444"/>
      <c r="AM55" s="444"/>
      <c r="AN55" s="444"/>
      <c r="AO55" s="444"/>
      <c r="AP55" s="444"/>
      <c r="AQ55" s="443"/>
      <c r="AR55" s="443"/>
      <c r="AS55" s="443"/>
    </row>
    <row r="56" spans="2:45" ht="15" customHeight="1" x14ac:dyDescent="0.25">
      <c r="B56" s="5"/>
      <c r="C56" s="264">
        <v>100</v>
      </c>
      <c r="D56" s="247"/>
      <c r="E56" s="247"/>
      <c r="F56" s="260"/>
      <c r="G56" s="260"/>
      <c r="H56" s="31"/>
      <c r="I56" s="31"/>
      <c r="J56" s="248" t="s">
        <v>201</v>
      </c>
      <c r="K56" s="261"/>
      <c r="L56" s="261"/>
      <c r="M56" s="31"/>
      <c r="N56" s="452" t="e">
        <f>AJ19</f>
        <v>#DIV/0!</v>
      </c>
      <c r="O56" s="6" t="s">
        <v>16</v>
      </c>
      <c r="P56" s="6"/>
      <c r="Q56" s="6"/>
      <c r="R56" s="6"/>
      <c r="S56" s="28"/>
      <c r="T56" s="444"/>
      <c r="U56" s="444"/>
      <c r="V56" s="444"/>
      <c r="W56" s="444"/>
      <c r="X56" s="444"/>
      <c r="Y56" s="444"/>
      <c r="Z56" s="444"/>
      <c r="AA56" s="444"/>
      <c r="AB56" s="444"/>
      <c r="AC56" s="444"/>
      <c r="AD56" s="444"/>
      <c r="AE56" s="444"/>
      <c r="AF56" s="444"/>
      <c r="AG56" s="444"/>
      <c r="AH56" s="444"/>
      <c r="AI56" s="444"/>
      <c r="AJ56" s="444"/>
      <c r="AK56" s="444"/>
      <c r="AL56" s="444"/>
      <c r="AM56" s="444"/>
      <c r="AN56" s="444"/>
      <c r="AO56" s="444"/>
      <c r="AP56" s="444"/>
      <c r="AQ56" s="443"/>
      <c r="AR56" s="443"/>
      <c r="AS56" s="443"/>
    </row>
    <row r="57" spans="2:45" ht="15" customHeight="1" x14ac:dyDescent="0.25">
      <c r="B57" s="5"/>
      <c r="C57" s="29">
        <v>75</v>
      </c>
      <c r="D57" s="6"/>
      <c r="E57" s="6"/>
      <c r="F57" s="6"/>
      <c r="G57" s="6"/>
      <c r="H57" s="31"/>
      <c r="I57" s="31"/>
      <c r="J57" s="248"/>
      <c r="K57" s="6"/>
      <c r="L57" s="6"/>
      <c r="M57" s="266"/>
      <c r="N57" s="265"/>
      <c r="O57" s="6"/>
      <c r="P57" s="6"/>
      <c r="Q57" s="6"/>
      <c r="R57" s="6"/>
      <c r="S57" s="28"/>
      <c r="T57" s="444"/>
      <c r="U57" s="444"/>
      <c r="V57" s="444"/>
      <c r="W57" s="444"/>
      <c r="X57" s="444"/>
      <c r="Y57" s="444"/>
      <c r="Z57" s="444"/>
      <c r="AA57" s="444"/>
      <c r="AB57" s="444"/>
      <c r="AC57" s="444"/>
      <c r="AD57" s="444"/>
      <c r="AE57" s="444"/>
      <c r="AF57" s="444"/>
      <c r="AG57" s="444"/>
      <c r="AH57" s="444"/>
      <c r="AI57" s="444"/>
      <c r="AJ57" s="444"/>
      <c r="AK57" s="444"/>
      <c r="AL57" s="444"/>
      <c r="AM57" s="444"/>
      <c r="AN57" s="444"/>
      <c r="AO57" s="444"/>
      <c r="AP57" s="444"/>
      <c r="AQ57" s="443"/>
      <c r="AR57" s="443"/>
      <c r="AS57" s="443"/>
    </row>
    <row r="58" spans="2:45" ht="15" customHeight="1" x14ac:dyDescent="0.25">
      <c r="B58" s="5"/>
      <c r="C58" s="29">
        <v>50</v>
      </c>
      <c r="D58" s="6"/>
      <c r="E58" s="6"/>
      <c r="F58" s="6"/>
      <c r="G58" s="266"/>
      <c r="H58" s="31"/>
      <c r="I58" s="31"/>
      <c r="J58" s="6" t="s">
        <v>202</v>
      </c>
      <c r="K58" s="6"/>
      <c r="L58" s="6"/>
      <c r="M58" s="6"/>
      <c r="N58" s="389" t="e">
        <f>IF(AA18="NA","NA",AA19*1000)</f>
        <v>#DIV/0!</v>
      </c>
      <c r="O58" s="6" t="s">
        <v>65</v>
      </c>
      <c r="P58" s="6" t="s">
        <v>203</v>
      </c>
      <c r="Q58" s="6"/>
      <c r="R58" s="6"/>
      <c r="S58" s="28"/>
      <c r="T58" s="444"/>
      <c r="U58" s="444"/>
      <c r="V58" s="444"/>
      <c r="W58" s="444"/>
      <c r="X58" s="444"/>
      <c r="Y58" s="444"/>
      <c r="Z58" s="444"/>
      <c r="AA58" s="444"/>
      <c r="AB58" s="444"/>
      <c r="AC58" s="444"/>
      <c r="AD58" s="444"/>
      <c r="AE58" s="444"/>
      <c r="AF58" s="444"/>
      <c r="AG58" s="444"/>
      <c r="AH58" s="444"/>
      <c r="AI58" s="444"/>
      <c r="AJ58" s="444"/>
      <c r="AK58" s="444"/>
      <c r="AL58" s="444"/>
      <c r="AM58" s="444"/>
      <c r="AN58" s="444"/>
      <c r="AO58" s="444"/>
      <c r="AP58" s="444"/>
      <c r="AQ58" s="443"/>
      <c r="AR58" s="443"/>
      <c r="AS58" s="443"/>
    </row>
    <row r="59" spans="2:45" ht="15" customHeight="1" x14ac:dyDescent="0.25">
      <c r="B59" s="5"/>
      <c r="C59" s="6"/>
      <c r="D59" s="6"/>
      <c r="E59" s="6"/>
      <c r="F59" s="6"/>
      <c r="G59" s="6"/>
      <c r="H59" s="31"/>
      <c r="I59" s="31"/>
      <c r="J59" s="6"/>
      <c r="K59" s="6"/>
      <c r="L59" s="6"/>
      <c r="M59" s="6"/>
      <c r="N59" s="389"/>
      <c r="O59" s="6"/>
      <c r="P59" s="53"/>
      <c r="Q59" s="6"/>
      <c r="R59" s="6"/>
      <c r="S59" s="28"/>
      <c r="T59" s="444"/>
      <c r="U59" s="444"/>
      <c r="V59" s="444"/>
      <c r="W59" s="444"/>
      <c r="X59" s="444"/>
      <c r="Y59" s="444"/>
      <c r="Z59" s="444"/>
      <c r="AA59" s="444"/>
      <c r="AB59" s="444"/>
      <c r="AC59" s="444"/>
      <c r="AD59" s="444"/>
      <c r="AE59" s="444"/>
      <c r="AF59" s="444"/>
      <c r="AG59" s="444"/>
      <c r="AH59" s="444"/>
      <c r="AI59" s="444"/>
      <c r="AJ59" s="444"/>
      <c r="AK59" s="444"/>
      <c r="AL59" s="444"/>
      <c r="AM59" s="444"/>
      <c r="AN59" s="444"/>
      <c r="AO59" s="444"/>
      <c r="AP59" s="444"/>
      <c r="AQ59" s="443"/>
      <c r="AR59" s="443"/>
      <c r="AS59" s="443"/>
    </row>
    <row r="60" spans="2:45" ht="15" customHeight="1" x14ac:dyDescent="0.25">
      <c r="B60" s="5"/>
      <c r="C60" s="6"/>
      <c r="D60" s="6"/>
      <c r="E60" s="6"/>
      <c r="F60" s="6"/>
      <c r="G60" s="6"/>
      <c r="H60" s="31"/>
      <c r="I60" s="31"/>
      <c r="J60" s="6" t="s">
        <v>204</v>
      </c>
      <c r="K60" s="6"/>
      <c r="L60" s="6"/>
      <c r="M60" s="6"/>
      <c r="N60" s="389" t="e">
        <f>IF(AA18="NA","NA",AF19*1000)</f>
        <v>#DIV/0!</v>
      </c>
      <c r="O60" s="6" t="s">
        <v>65</v>
      </c>
      <c r="P60" s="6" t="s">
        <v>205</v>
      </c>
      <c r="Q60" s="6"/>
      <c r="R60" s="6"/>
      <c r="S60" s="28"/>
      <c r="T60" s="444"/>
      <c r="U60" s="444"/>
      <c r="V60" s="444"/>
      <c r="W60" s="444"/>
      <c r="X60" s="444"/>
      <c r="Y60" s="444"/>
      <c r="Z60" s="444"/>
      <c r="AA60" s="444"/>
      <c r="AB60" s="444"/>
      <c r="AC60" s="444"/>
      <c r="AD60" s="444"/>
      <c r="AE60" s="444"/>
      <c r="AF60" s="444"/>
      <c r="AG60" s="444"/>
      <c r="AH60" s="444"/>
      <c r="AI60" s="444"/>
      <c r="AJ60" s="444"/>
      <c r="AK60" s="444"/>
      <c r="AL60" s="444"/>
      <c r="AM60" s="444"/>
      <c r="AN60" s="444"/>
      <c r="AO60" s="444"/>
      <c r="AP60" s="444"/>
      <c r="AQ60" s="443"/>
      <c r="AR60" s="443"/>
      <c r="AS60" s="443"/>
    </row>
    <row r="61" spans="2:45" ht="15" customHeight="1" x14ac:dyDescent="0.25">
      <c r="B61" s="5"/>
      <c r="C61" s="6"/>
      <c r="D61" s="6"/>
      <c r="E61" s="6"/>
      <c r="F61" s="6"/>
      <c r="G61" s="6"/>
      <c r="H61" s="6"/>
      <c r="I61" s="6"/>
      <c r="J61" s="6"/>
      <c r="K61" s="6"/>
      <c r="L61" s="6"/>
      <c r="M61" s="6"/>
      <c r="N61" s="6"/>
      <c r="O61" s="6"/>
      <c r="P61" s="6"/>
      <c r="Q61" s="6"/>
      <c r="R61" s="6"/>
      <c r="S61" s="28"/>
      <c r="T61" s="444"/>
      <c r="U61" s="444"/>
      <c r="V61" s="444"/>
      <c r="W61" s="444"/>
      <c r="X61" s="444"/>
      <c r="Y61" s="444"/>
      <c r="Z61" s="444"/>
      <c r="AA61" s="444"/>
      <c r="AB61" s="444"/>
      <c r="AC61" s="444"/>
      <c r="AD61" s="444"/>
      <c r="AE61" s="444"/>
      <c r="AF61" s="444"/>
      <c r="AG61" s="444"/>
      <c r="AH61" s="444"/>
      <c r="AI61" s="444"/>
      <c r="AJ61" s="444"/>
      <c r="AK61" s="444"/>
      <c r="AL61" s="444"/>
      <c r="AM61" s="444"/>
      <c r="AN61" s="444"/>
      <c r="AO61" s="444"/>
      <c r="AP61" s="444"/>
      <c r="AQ61" s="443"/>
      <c r="AR61" s="443"/>
      <c r="AS61" s="443"/>
    </row>
    <row r="62" spans="2:45" ht="15" customHeight="1" x14ac:dyDescent="0.25">
      <c r="B62" s="5"/>
      <c r="C62" s="6"/>
      <c r="D62" s="6"/>
      <c r="E62" s="6"/>
      <c r="F62" s="6"/>
      <c r="G62" s="6"/>
      <c r="H62" s="6"/>
      <c r="I62" s="6"/>
      <c r="J62" s="248" t="s">
        <v>206</v>
      </c>
      <c r="K62" s="6"/>
      <c r="L62" s="266"/>
      <c r="M62" s="6" t="s">
        <v>207</v>
      </c>
      <c r="N62" s="265">
        <f>AA21/1000</f>
        <v>0</v>
      </c>
      <c r="O62" s="6" t="s">
        <v>77</v>
      </c>
      <c r="P62" s="6"/>
      <c r="Q62" s="6"/>
      <c r="R62" s="6"/>
      <c r="S62" s="28"/>
      <c r="T62" s="444"/>
      <c r="U62" s="444"/>
      <c r="V62" s="444"/>
      <c r="W62" s="444"/>
      <c r="X62" s="444"/>
      <c r="Y62" s="444"/>
      <c r="Z62" s="444"/>
      <c r="AA62" s="444"/>
      <c r="AB62" s="444"/>
      <c r="AC62" s="444"/>
      <c r="AD62" s="444"/>
      <c r="AE62" s="444"/>
      <c r="AF62" s="444"/>
      <c r="AG62" s="444"/>
      <c r="AH62" s="444"/>
      <c r="AI62" s="444"/>
      <c r="AJ62" s="444"/>
      <c r="AK62" s="444"/>
      <c r="AL62" s="444"/>
      <c r="AM62" s="444"/>
      <c r="AN62" s="444"/>
      <c r="AO62" s="444"/>
      <c r="AP62" s="444"/>
      <c r="AQ62" s="443"/>
      <c r="AR62" s="443"/>
      <c r="AS62" s="443"/>
    </row>
    <row r="63" spans="2:45" ht="15" customHeight="1" x14ac:dyDescent="0.25">
      <c r="B63" s="5"/>
      <c r="C63" s="6"/>
      <c r="D63" s="6"/>
      <c r="E63" s="6"/>
      <c r="F63" s="6"/>
      <c r="G63" s="6"/>
      <c r="H63" s="6"/>
      <c r="I63" s="6"/>
      <c r="J63" s="6"/>
      <c r="K63" s="31"/>
      <c r="L63" s="31"/>
      <c r="M63" s="6"/>
      <c r="N63" s="265"/>
      <c r="O63" s="6"/>
      <c r="P63" s="6"/>
      <c r="Q63" s="6"/>
      <c r="R63" s="6"/>
      <c r="S63" s="28"/>
      <c r="T63" s="444"/>
      <c r="U63" s="444"/>
      <c r="V63" s="444"/>
      <c r="W63" s="444"/>
      <c r="X63" s="444"/>
      <c r="Y63" s="444"/>
      <c r="Z63" s="444"/>
      <c r="AA63" s="444"/>
      <c r="AB63" s="444"/>
      <c r="AC63" s="444"/>
      <c r="AD63" s="444"/>
      <c r="AE63" s="444"/>
      <c r="AF63" s="444"/>
      <c r="AG63" s="444"/>
      <c r="AH63" s="444"/>
      <c r="AI63" s="444"/>
      <c r="AJ63" s="444"/>
      <c r="AK63" s="444"/>
      <c r="AL63" s="444"/>
      <c r="AM63" s="444"/>
      <c r="AN63" s="444"/>
      <c r="AO63" s="444"/>
      <c r="AP63" s="444"/>
      <c r="AQ63" s="443"/>
      <c r="AR63" s="443"/>
      <c r="AS63" s="443"/>
    </row>
    <row r="64" spans="2:45" x14ac:dyDescent="0.25">
      <c r="B64" s="5"/>
      <c r="C64" s="6"/>
      <c r="D64" s="6"/>
      <c r="E64" s="6"/>
      <c r="F64" s="6"/>
      <c r="G64" s="6"/>
      <c r="H64" s="6"/>
      <c r="I64" s="6"/>
      <c r="J64" s="6"/>
      <c r="K64" s="6"/>
      <c r="L64" s="266"/>
      <c r="M64" s="6" t="s">
        <v>208</v>
      </c>
      <c r="N64" s="265">
        <f>AB21/1000+30*AA5/2000</f>
        <v>0</v>
      </c>
      <c r="O64" s="6" t="s">
        <v>77</v>
      </c>
      <c r="P64" s="6"/>
      <c r="Q64" s="6"/>
      <c r="R64" s="6"/>
      <c r="S64" s="28"/>
      <c r="T64" s="444"/>
      <c r="U64" s="444"/>
      <c r="V64" s="444"/>
      <c r="W64" s="444"/>
      <c r="X64" s="444"/>
      <c r="Y64" s="444"/>
      <c r="Z64" s="444"/>
      <c r="AA64" s="444"/>
      <c r="AB64" s="444"/>
      <c r="AC64" s="444"/>
      <c r="AD64" s="444"/>
      <c r="AE64" s="444"/>
      <c r="AF64" s="444"/>
      <c r="AG64" s="444"/>
      <c r="AH64" s="444"/>
      <c r="AI64" s="444"/>
      <c r="AJ64" s="444"/>
      <c r="AK64" s="444"/>
      <c r="AL64" s="444"/>
      <c r="AM64" s="444"/>
      <c r="AN64" s="444"/>
      <c r="AO64" s="444"/>
      <c r="AP64" s="444"/>
      <c r="AQ64" s="443"/>
      <c r="AR64" s="443"/>
      <c r="AS64" s="443"/>
    </row>
    <row r="65" spans="2:45" x14ac:dyDescent="0.25">
      <c r="B65" s="5"/>
      <c r="C65" s="6"/>
      <c r="D65" s="6"/>
      <c r="E65" s="6"/>
      <c r="F65" s="6"/>
      <c r="G65" s="6"/>
      <c r="H65" s="6"/>
      <c r="I65" s="6"/>
      <c r="J65" s="6"/>
      <c r="K65" s="6"/>
      <c r="L65" s="6"/>
      <c r="M65" s="6"/>
      <c r="N65" s="6"/>
      <c r="O65" s="6"/>
      <c r="P65" s="6"/>
      <c r="Q65" s="6"/>
      <c r="R65" s="6"/>
      <c r="S65" s="28"/>
      <c r="T65" s="444"/>
      <c r="U65" s="444"/>
      <c r="V65" s="444"/>
      <c r="W65" s="444"/>
      <c r="X65" s="444"/>
      <c r="Y65" s="444"/>
      <c r="Z65" s="444"/>
      <c r="AA65" s="444"/>
      <c r="AB65" s="444"/>
      <c r="AC65" s="444"/>
      <c r="AD65" s="444"/>
      <c r="AE65" s="444"/>
      <c r="AF65" s="444"/>
      <c r="AG65" s="444"/>
      <c r="AH65" s="444"/>
      <c r="AI65" s="444"/>
      <c r="AJ65" s="444"/>
      <c r="AK65" s="444"/>
      <c r="AL65" s="444"/>
      <c r="AM65" s="444"/>
      <c r="AN65" s="444"/>
      <c r="AO65" s="444"/>
      <c r="AP65" s="444"/>
      <c r="AQ65" s="443"/>
      <c r="AR65" s="443"/>
      <c r="AS65" s="443"/>
    </row>
    <row r="66" spans="2:45" x14ac:dyDescent="0.25">
      <c r="B66" s="5"/>
      <c r="C66" s="6"/>
      <c r="D66" s="6"/>
      <c r="E66" s="6"/>
      <c r="F66" s="6"/>
      <c r="G66" s="6"/>
      <c r="H66" s="6"/>
      <c r="I66" s="6"/>
      <c r="J66" s="6"/>
      <c r="K66" s="6"/>
      <c r="L66" s="6"/>
      <c r="M66" s="6"/>
      <c r="N66" s="6"/>
      <c r="O66" s="6"/>
      <c r="P66" s="6"/>
      <c r="Q66" s="6"/>
      <c r="R66" s="6"/>
      <c r="S66" s="28"/>
      <c r="T66" s="444"/>
      <c r="U66" s="444"/>
      <c r="V66" s="444"/>
      <c r="W66" s="444"/>
      <c r="X66" s="444"/>
      <c r="Y66" s="444"/>
      <c r="Z66" s="444"/>
      <c r="AA66" s="444"/>
      <c r="AB66" s="444"/>
      <c r="AC66" s="444"/>
      <c r="AD66" s="444"/>
      <c r="AE66" s="444"/>
      <c r="AF66" s="444"/>
      <c r="AG66" s="444"/>
      <c r="AH66" s="444"/>
      <c r="AI66" s="444"/>
      <c r="AJ66" s="444"/>
      <c r="AK66" s="444"/>
      <c r="AL66" s="444"/>
      <c r="AM66" s="444"/>
      <c r="AN66" s="444"/>
      <c r="AO66" s="444"/>
      <c r="AP66" s="444"/>
      <c r="AQ66" s="443"/>
      <c r="AR66" s="443"/>
      <c r="AS66" s="443"/>
    </row>
    <row r="67" spans="2:45" x14ac:dyDescent="0.25">
      <c r="B67" s="5"/>
      <c r="C67" s="6"/>
      <c r="D67" s="6"/>
      <c r="E67" s="6"/>
      <c r="F67" s="6"/>
      <c r="G67" s="6"/>
      <c r="H67" s="6"/>
      <c r="I67" s="6"/>
      <c r="J67" s="6"/>
      <c r="K67" s="6"/>
      <c r="L67" s="6"/>
      <c r="M67" s="6"/>
      <c r="N67" s="6"/>
      <c r="O67" s="6"/>
      <c r="P67" s="6"/>
      <c r="Q67" s="6"/>
      <c r="R67" s="6"/>
      <c r="S67" s="28"/>
      <c r="T67" s="444"/>
      <c r="U67" s="444"/>
      <c r="V67" s="444"/>
      <c r="W67" s="444"/>
      <c r="X67" s="444"/>
      <c r="Y67" s="444"/>
      <c r="Z67" s="444"/>
      <c r="AA67" s="444"/>
      <c r="AB67" s="444"/>
      <c r="AC67" s="444"/>
      <c r="AD67" s="444"/>
      <c r="AE67" s="444"/>
      <c r="AF67" s="444"/>
      <c r="AG67" s="444"/>
      <c r="AH67" s="444"/>
      <c r="AI67" s="444"/>
      <c r="AJ67" s="444"/>
      <c r="AK67" s="444"/>
      <c r="AL67" s="444"/>
      <c r="AM67" s="444"/>
      <c r="AN67" s="444"/>
      <c r="AO67" s="444"/>
      <c r="AP67" s="444"/>
      <c r="AQ67" s="443"/>
      <c r="AR67" s="443"/>
      <c r="AS67" s="443"/>
    </row>
    <row r="68" spans="2:45" x14ac:dyDescent="0.25">
      <c r="B68" s="5"/>
      <c r="C68" s="6"/>
      <c r="D68" s="6"/>
      <c r="E68" s="6"/>
      <c r="F68" s="6"/>
      <c r="G68" s="6"/>
      <c r="H68" s="6"/>
      <c r="I68" s="6"/>
      <c r="J68" s="6"/>
      <c r="K68" s="6"/>
      <c r="L68" s="6"/>
      <c r="M68" s="6"/>
      <c r="N68" s="6"/>
      <c r="O68" s="6"/>
      <c r="P68" s="6"/>
      <c r="Q68" s="6"/>
      <c r="R68" s="6"/>
      <c r="S68" s="28"/>
    </row>
    <row r="69" spans="2:45" x14ac:dyDescent="0.25">
      <c r="B69" s="5"/>
      <c r="C69" s="6"/>
      <c r="D69" s="6"/>
      <c r="E69" s="6"/>
      <c r="F69" s="6"/>
      <c r="G69" s="6"/>
      <c r="H69" s="6"/>
      <c r="I69" s="6"/>
      <c r="J69" s="6"/>
      <c r="K69" s="6"/>
      <c r="L69" s="6"/>
      <c r="M69" s="6"/>
      <c r="N69" s="6"/>
      <c r="O69" s="6"/>
      <c r="P69" s="6"/>
      <c r="Q69" s="6"/>
      <c r="R69" s="6"/>
      <c r="S69" s="28"/>
    </row>
    <row r="70" spans="2:45" x14ac:dyDescent="0.25">
      <c r="B70" s="5"/>
      <c r="C70" s="6"/>
      <c r="D70" s="6"/>
      <c r="E70" s="6"/>
      <c r="F70" s="6"/>
      <c r="G70" s="6"/>
      <c r="H70" s="6"/>
      <c r="I70" s="6"/>
      <c r="J70" s="6"/>
      <c r="K70" s="6"/>
      <c r="L70" s="6"/>
      <c r="M70" s="6"/>
      <c r="N70" s="6"/>
      <c r="O70" s="6"/>
      <c r="P70" s="6"/>
      <c r="Q70" s="6"/>
      <c r="R70" s="6"/>
      <c r="S70" s="28"/>
    </row>
    <row r="71" spans="2:45" x14ac:dyDescent="0.25">
      <c r="B71" s="5"/>
      <c r="C71" s="6"/>
      <c r="D71" s="6"/>
      <c r="E71" s="6"/>
      <c r="F71" s="6"/>
      <c r="G71" s="6"/>
      <c r="H71" s="6"/>
      <c r="I71" s="6"/>
      <c r="J71" s="6"/>
      <c r="K71" s="6"/>
      <c r="L71" s="6"/>
      <c r="M71" s="6"/>
      <c r="N71" s="6"/>
      <c r="O71" s="6"/>
      <c r="P71" s="6"/>
      <c r="Q71" s="6"/>
      <c r="R71" s="6"/>
      <c r="S71" s="28"/>
    </row>
    <row r="72" spans="2:45" x14ac:dyDescent="0.25">
      <c r="B72" s="5"/>
      <c r="C72" s="6"/>
      <c r="D72" s="6"/>
      <c r="E72" s="6"/>
      <c r="F72" s="6"/>
      <c r="G72" s="6"/>
      <c r="H72" s="6"/>
      <c r="I72" s="6"/>
      <c r="J72" s="6"/>
      <c r="K72" s="6"/>
      <c r="L72" s="6"/>
      <c r="M72" s="6"/>
      <c r="N72" s="6"/>
      <c r="O72" s="6"/>
      <c r="P72" s="6"/>
      <c r="Q72" s="6"/>
      <c r="R72" s="6"/>
      <c r="S72" s="28"/>
    </row>
    <row r="73" spans="2:45" x14ac:dyDescent="0.25">
      <c r="B73" s="5"/>
      <c r="C73" s="6"/>
      <c r="D73" s="6"/>
      <c r="E73" s="6"/>
      <c r="F73" s="6"/>
      <c r="G73" s="6"/>
      <c r="H73" s="6"/>
      <c r="I73" s="6"/>
      <c r="J73" s="6"/>
      <c r="K73" s="6"/>
      <c r="L73" s="6"/>
      <c r="M73" s="6"/>
      <c r="N73" s="6"/>
      <c r="O73" s="6"/>
      <c r="P73" s="6"/>
      <c r="Q73" s="6"/>
      <c r="R73" s="6"/>
      <c r="S73" s="28"/>
    </row>
    <row r="74" spans="2:45" x14ac:dyDescent="0.25">
      <c r="B74" s="5"/>
      <c r="C74" s="6"/>
      <c r="D74" s="6"/>
      <c r="E74" s="6"/>
      <c r="F74" s="6"/>
      <c r="G74" s="6"/>
      <c r="H74" s="6"/>
      <c r="I74" s="6"/>
      <c r="J74" s="6"/>
      <c r="K74" s="6"/>
      <c r="L74" s="6"/>
      <c r="M74" s="6"/>
      <c r="N74" s="6"/>
      <c r="O74" s="6"/>
      <c r="P74" s="6"/>
      <c r="Q74" s="6"/>
      <c r="R74" s="6"/>
      <c r="S74" s="28"/>
    </row>
    <row r="75" spans="2:45" x14ac:dyDescent="0.25">
      <c r="B75" s="5"/>
      <c r="C75" s="6"/>
      <c r="D75" s="6"/>
      <c r="E75" s="6"/>
      <c r="F75" s="6"/>
      <c r="G75" s="6"/>
      <c r="H75" s="6"/>
      <c r="I75" s="6"/>
      <c r="J75" s="6"/>
      <c r="K75" s="6"/>
      <c r="L75" s="6"/>
      <c r="M75" s="6"/>
      <c r="N75" s="6"/>
      <c r="O75" s="6"/>
      <c r="P75" s="6"/>
      <c r="Q75" s="6"/>
      <c r="R75" s="6"/>
      <c r="S75" s="28"/>
    </row>
    <row r="76" spans="2:45" x14ac:dyDescent="0.25">
      <c r="B76" s="5"/>
      <c r="C76" s="6"/>
      <c r="D76" s="6"/>
      <c r="E76" s="6"/>
      <c r="F76" s="6"/>
      <c r="G76" s="6"/>
      <c r="H76" s="6"/>
      <c r="I76" s="6"/>
      <c r="J76" s="6"/>
      <c r="K76" s="6"/>
      <c r="L76" s="6"/>
      <c r="M76" s="6"/>
      <c r="N76" s="6"/>
      <c r="O76" s="6"/>
      <c r="P76" s="6"/>
      <c r="Q76" s="6"/>
      <c r="R76" s="6"/>
      <c r="S76" s="28"/>
    </row>
    <row r="77" spans="2:45" x14ac:dyDescent="0.25">
      <c r="B77" s="5"/>
      <c r="C77" s="6"/>
      <c r="D77" s="6"/>
      <c r="E77" s="6"/>
      <c r="F77" s="6"/>
      <c r="G77" s="6"/>
      <c r="H77" s="6"/>
      <c r="I77" s="6"/>
      <c r="J77" s="6"/>
      <c r="K77" s="6"/>
      <c r="L77" s="6"/>
      <c r="M77" s="6"/>
      <c r="N77" s="6"/>
      <c r="O77" s="6"/>
      <c r="P77" s="6"/>
      <c r="Q77" s="6"/>
      <c r="R77" s="6"/>
      <c r="S77" s="28"/>
    </row>
    <row r="78" spans="2:45" x14ac:dyDescent="0.25">
      <c r="B78" s="5"/>
      <c r="C78" s="6"/>
      <c r="D78" s="6"/>
      <c r="E78" s="6"/>
      <c r="F78" s="6"/>
      <c r="G78" s="6"/>
      <c r="H78" s="6"/>
      <c r="I78" s="6"/>
      <c r="J78" s="6"/>
      <c r="K78" s="6"/>
      <c r="L78" s="6"/>
      <c r="M78" s="6"/>
      <c r="N78" s="6"/>
      <c r="O78" s="6"/>
      <c r="P78" s="6"/>
      <c r="Q78" s="6"/>
      <c r="R78" s="6"/>
      <c r="S78" s="28"/>
    </row>
    <row r="79" spans="2:45" x14ac:dyDescent="0.25">
      <c r="B79" s="5"/>
      <c r="C79" s="6"/>
      <c r="D79" s="6"/>
      <c r="E79" s="6"/>
      <c r="F79" s="6"/>
      <c r="G79" s="6"/>
      <c r="H79" s="6"/>
      <c r="I79" s="6"/>
      <c r="J79" s="6"/>
      <c r="K79" s="6"/>
      <c r="L79" s="6"/>
      <c r="M79" s="6"/>
      <c r="N79" s="6"/>
      <c r="O79" s="6"/>
      <c r="P79" s="6"/>
      <c r="Q79" s="6"/>
      <c r="R79" s="6"/>
      <c r="S79" s="28"/>
    </row>
    <row r="80" spans="2:45" x14ac:dyDescent="0.25">
      <c r="B80" s="72"/>
      <c r="C80" s="73"/>
      <c r="D80" s="73"/>
      <c r="E80" s="73"/>
      <c r="F80" s="73"/>
      <c r="G80" s="73"/>
      <c r="H80" s="73"/>
      <c r="I80" s="73"/>
      <c r="J80" s="73"/>
      <c r="K80" s="73"/>
      <c r="L80" s="73"/>
      <c r="M80" s="73"/>
      <c r="N80" s="73"/>
      <c r="O80" s="73"/>
      <c r="P80" s="73"/>
      <c r="Q80" s="73"/>
      <c r="R80" s="73"/>
      <c r="S80" s="97"/>
    </row>
  </sheetData>
  <sheetProtection algorithmName="SHA-512" hashValue="M/7NRR2HU/NKDasSYEB8f9/YF24vCQX/Ppu7pIBALmczNce5Amz0XUP8exjzEc1dDj2SORrrImsAeles663F8A==" saltValue="r4oSD9X8y36lFXrrmWeLow==" spinCount="100000" sheet="1" objects="1" scenarios="1"/>
  <mergeCells count="12">
    <mergeCell ref="I20:Q20"/>
    <mergeCell ref="F41:H41"/>
    <mergeCell ref="J49:P49"/>
    <mergeCell ref="D11:F11"/>
    <mergeCell ref="G11:H11"/>
    <mergeCell ref="I11:J11"/>
    <mergeCell ref="K11:L11"/>
    <mergeCell ref="M11:P11"/>
    <mergeCell ref="D12:F12"/>
    <mergeCell ref="G12:H12"/>
    <mergeCell ref="I12:J12"/>
    <mergeCell ref="N12:O12"/>
  </mergeCells>
  <dataValidations count="3">
    <dataValidation type="list" allowBlank="1" showInputMessage="1" showErrorMessage="1" sqref="F41:H41">
      <formula1>$U$30:$U$31</formula1>
    </dataValidation>
    <dataValidation type="list" allowBlank="1" showInputMessage="1" showErrorMessage="1" sqref="J49:P49">
      <formula1>$AG$1:$AG$3</formula1>
    </dataValidation>
    <dataValidation type="list" allowBlank="1" showInputMessage="1" showErrorMessage="1" sqref="F49">
      <formula1>$U$48:$U$50</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99"/>
  <sheetViews>
    <sheetView workbookViewId="0">
      <selection activeCell="K2" sqref="K2"/>
    </sheetView>
  </sheetViews>
  <sheetFormatPr defaultRowHeight="15" x14ac:dyDescent="0.25"/>
  <cols>
    <col min="2" max="19" width="9.140625" customWidth="1"/>
    <col min="23" max="23" width="12" bestFit="1" customWidth="1"/>
    <col min="25" max="25" width="12" bestFit="1" customWidth="1"/>
    <col min="27" max="27" width="12" bestFit="1" customWidth="1"/>
    <col min="30" max="30" width="12" bestFit="1" customWidth="1"/>
    <col min="32" max="32" width="12" bestFit="1" customWidth="1"/>
    <col min="34" max="34" width="16.85546875" bestFit="1" customWidth="1"/>
    <col min="35" max="35" width="35.7109375" bestFit="1" customWidth="1"/>
    <col min="36" max="36" width="9" bestFit="1" customWidth="1"/>
    <col min="37" max="37" width="8" bestFit="1" customWidth="1"/>
    <col min="39" max="39" width="7.42578125" bestFit="1" customWidth="1"/>
    <col min="40" max="40" width="9.140625" customWidth="1"/>
    <col min="41" max="41" width="7.42578125" bestFit="1" customWidth="1"/>
    <col min="42" max="42" width="25" bestFit="1" customWidth="1"/>
    <col min="43" max="43" width="7.7109375" customWidth="1"/>
  </cols>
  <sheetData>
    <row r="1" spans="2:56" x14ac:dyDescent="0.25">
      <c r="T1" s="444"/>
      <c r="U1" s="456"/>
      <c r="V1" s="444" t="s">
        <v>24</v>
      </c>
      <c r="W1" s="444">
        <f>G39*1000</f>
        <v>0</v>
      </c>
      <c r="X1" s="444"/>
      <c r="Y1" s="444" t="s">
        <v>318</v>
      </c>
      <c r="Z1" s="444">
        <f>O41*PI()/180</f>
        <v>1.5707963267948966</v>
      </c>
      <c r="AA1" s="444"/>
      <c r="AB1" s="444"/>
      <c r="AC1" s="444"/>
      <c r="AD1" s="444"/>
      <c r="AE1" s="444">
        <v>1</v>
      </c>
      <c r="AF1" s="444" t="s">
        <v>244</v>
      </c>
      <c r="AG1" s="444"/>
      <c r="AH1" s="444">
        <v>1</v>
      </c>
      <c r="AI1" s="444">
        <v>70000000000</v>
      </c>
      <c r="AJ1" s="444"/>
      <c r="AK1" s="444"/>
      <c r="AL1" s="444"/>
      <c r="AM1" s="444"/>
      <c r="AN1" s="444"/>
      <c r="AO1" s="444">
        <v>2</v>
      </c>
      <c r="AP1" s="444">
        <v>70000000000</v>
      </c>
      <c r="AQ1" s="444"/>
      <c r="AR1" s="444"/>
      <c r="AS1" s="444"/>
      <c r="AT1" s="444"/>
      <c r="AU1" s="444"/>
      <c r="AV1" s="234"/>
      <c r="AW1" s="234"/>
      <c r="AX1" s="234"/>
      <c r="AY1" s="234"/>
      <c r="AZ1" s="234"/>
      <c r="BA1" s="234"/>
      <c r="BB1" s="234"/>
      <c r="BC1" s="234"/>
      <c r="BD1" s="234"/>
    </row>
    <row r="2" spans="2:56" x14ac:dyDescent="0.25">
      <c r="B2" s="2"/>
      <c r="C2" s="3"/>
      <c r="D2" s="3"/>
      <c r="E2" s="3"/>
      <c r="F2" s="3"/>
      <c r="G2" s="3"/>
      <c r="H2" s="3"/>
      <c r="I2" s="3"/>
      <c r="J2" s="3"/>
      <c r="K2" s="3"/>
      <c r="L2" s="3"/>
      <c r="M2" s="3"/>
      <c r="N2" s="3"/>
      <c r="O2" s="3"/>
      <c r="P2" s="3"/>
      <c r="Q2" s="3"/>
      <c r="R2" s="3"/>
      <c r="S2" s="4"/>
      <c r="T2" s="444"/>
      <c r="U2" s="456"/>
      <c r="V2" s="444" t="s">
        <v>3</v>
      </c>
      <c r="W2" s="444">
        <f>Q43*1000</f>
        <v>0</v>
      </c>
      <c r="X2" s="444"/>
      <c r="Y2" s="444"/>
      <c r="Z2" s="444"/>
      <c r="AA2" s="444"/>
      <c r="AB2" s="444"/>
      <c r="AC2" s="444"/>
      <c r="AD2" s="444"/>
      <c r="AE2" s="444">
        <v>2</v>
      </c>
      <c r="AF2" s="444" t="s">
        <v>245</v>
      </c>
      <c r="AG2" s="444"/>
      <c r="AH2" s="445" t="s">
        <v>248</v>
      </c>
      <c r="AI2" s="446" t="s">
        <v>248</v>
      </c>
      <c r="AJ2" s="445">
        <v>41.94</v>
      </c>
      <c r="AK2" s="29">
        <v>0</v>
      </c>
      <c r="AL2" s="444">
        <f t="shared" ref="AL2:AL10" si="0">AJ2+AK2</f>
        <v>41.94</v>
      </c>
      <c r="AM2" s="444"/>
      <c r="AN2" s="444"/>
      <c r="AO2" s="445" t="s">
        <v>263</v>
      </c>
      <c r="AP2" s="446" t="s">
        <v>262</v>
      </c>
      <c r="AQ2" s="445">
        <v>818</v>
      </c>
      <c r="AR2" s="29">
        <v>385.6</v>
      </c>
      <c r="AS2" s="444">
        <f>AQ2+AR2</f>
        <v>1203.5999999999999</v>
      </c>
      <c r="AT2" s="444"/>
      <c r="AU2" s="444"/>
      <c r="AV2" s="234"/>
      <c r="AW2" s="234"/>
      <c r="AX2" s="234"/>
      <c r="AY2" s="234"/>
      <c r="AZ2" s="234"/>
      <c r="BA2" s="234"/>
      <c r="BB2" s="234"/>
      <c r="BC2" s="234"/>
      <c r="BD2" s="234"/>
    </row>
    <row r="3" spans="2:56" x14ac:dyDescent="0.25">
      <c r="B3" s="5"/>
      <c r="C3" s="6"/>
      <c r="D3" s="6"/>
      <c r="E3" s="6"/>
      <c r="F3" s="6"/>
      <c r="G3" s="6"/>
      <c r="H3" s="6"/>
      <c r="I3" s="6"/>
      <c r="J3" s="6"/>
      <c r="K3" s="6"/>
      <c r="L3" s="6"/>
      <c r="M3" s="6"/>
      <c r="N3" s="6"/>
      <c r="O3" s="6"/>
      <c r="P3" s="7"/>
      <c r="Q3" s="7"/>
      <c r="R3" s="7"/>
      <c r="S3" s="8"/>
      <c r="T3" s="444"/>
      <c r="U3" s="456"/>
      <c r="V3" s="444" t="s">
        <v>0</v>
      </c>
      <c r="W3" s="444">
        <f>G43/1000</f>
        <v>0</v>
      </c>
      <c r="X3" s="444"/>
      <c r="Y3" s="444"/>
      <c r="Z3" s="444"/>
      <c r="AA3" s="444"/>
      <c r="AB3" s="444"/>
      <c r="AC3" s="444"/>
      <c r="AD3" s="444"/>
      <c r="AE3" s="444"/>
      <c r="AF3" s="444"/>
      <c r="AG3" s="444"/>
      <c r="AH3" s="445" t="s">
        <v>363</v>
      </c>
      <c r="AI3" s="445" t="s">
        <v>367</v>
      </c>
      <c r="AJ3" s="445">
        <v>68.849999999999994</v>
      </c>
      <c r="AK3" s="29">
        <v>18.54</v>
      </c>
      <c r="AL3" s="444">
        <f t="shared" si="0"/>
        <v>87.389999999999986</v>
      </c>
      <c r="AM3" s="444"/>
      <c r="AN3" s="444"/>
      <c r="AO3" s="444"/>
      <c r="AP3" s="444"/>
      <c r="AQ3" s="444"/>
      <c r="AR3" s="444"/>
      <c r="AS3" s="444"/>
      <c r="AT3" s="444"/>
      <c r="AU3" s="444"/>
      <c r="AV3" s="234"/>
      <c r="AW3" s="234"/>
      <c r="AX3" s="234"/>
      <c r="AY3" s="234"/>
      <c r="AZ3" s="234"/>
      <c r="BA3" s="234"/>
      <c r="BB3" s="234"/>
      <c r="BC3" s="234"/>
      <c r="BD3" s="234"/>
    </row>
    <row r="4" spans="2:56" x14ac:dyDescent="0.25">
      <c r="B4" s="9"/>
      <c r="C4" s="10"/>
      <c r="D4" s="6"/>
      <c r="E4" s="6"/>
      <c r="F4" s="6"/>
      <c r="G4" s="6"/>
      <c r="H4" s="6"/>
      <c r="I4" s="6"/>
      <c r="J4" s="6"/>
      <c r="K4" s="6"/>
      <c r="L4" s="6"/>
      <c r="M4" s="6"/>
      <c r="N4" s="6"/>
      <c r="O4" s="6"/>
      <c r="P4" s="6"/>
      <c r="Q4" s="6"/>
      <c r="R4" s="6"/>
      <c r="S4" s="269"/>
      <c r="T4" s="444"/>
      <c r="U4" s="456"/>
      <c r="V4" s="444" t="s">
        <v>1</v>
      </c>
      <c r="W4" s="444">
        <f>G45/1000</f>
        <v>0</v>
      </c>
      <c r="X4" s="444"/>
      <c r="Y4" s="444"/>
      <c r="Z4" s="444"/>
      <c r="AA4" s="444"/>
      <c r="AB4" s="444"/>
      <c r="AC4" s="444"/>
      <c r="AD4" s="444"/>
      <c r="AE4" s="444"/>
      <c r="AF4" s="444"/>
      <c r="AG4" s="444"/>
      <c r="AH4" s="445" t="s">
        <v>250</v>
      </c>
      <c r="AI4" s="446" t="s">
        <v>249</v>
      </c>
      <c r="AJ4" s="445">
        <v>92.5</v>
      </c>
      <c r="AK4" s="29">
        <v>18.54</v>
      </c>
      <c r="AL4" s="444">
        <f t="shared" si="0"/>
        <v>111.03999999999999</v>
      </c>
      <c r="AM4" s="444"/>
      <c r="AN4" s="444"/>
      <c r="AO4" s="444"/>
      <c r="AP4" s="444"/>
      <c r="AQ4" s="444"/>
      <c r="AR4" s="444"/>
      <c r="AS4" s="444"/>
      <c r="AT4" s="444"/>
      <c r="AU4" s="444"/>
      <c r="AV4" s="234"/>
      <c r="AW4" s="234"/>
      <c r="AX4" s="234"/>
      <c r="AY4" s="234"/>
      <c r="AZ4" s="234"/>
      <c r="BA4" s="234"/>
      <c r="BB4" s="234"/>
      <c r="BC4" s="234"/>
      <c r="BD4" s="234"/>
    </row>
    <row r="5" spans="2:56" x14ac:dyDescent="0.25">
      <c r="B5" s="9"/>
      <c r="C5" s="10"/>
      <c r="D5" s="6"/>
      <c r="E5" s="6"/>
      <c r="F5" s="6"/>
      <c r="G5" s="6"/>
      <c r="H5" s="6"/>
      <c r="I5" s="6"/>
      <c r="J5" s="6"/>
      <c r="K5" s="6"/>
      <c r="L5" s="6"/>
      <c r="M5" s="6"/>
      <c r="N5" s="6"/>
      <c r="O5" s="6"/>
      <c r="P5" s="6"/>
      <c r="Q5" s="6"/>
      <c r="R5" s="6"/>
      <c r="S5" s="270"/>
      <c r="T5" s="444"/>
      <c r="U5" s="456"/>
      <c r="V5" s="444" t="s">
        <v>2</v>
      </c>
      <c r="W5" s="444">
        <f>G47/1000</f>
        <v>0</v>
      </c>
      <c r="X5" s="444"/>
      <c r="Y5" s="444"/>
      <c r="Z5" s="444"/>
      <c r="AA5" s="444"/>
      <c r="AB5" s="444"/>
      <c r="AC5" s="444"/>
      <c r="AD5" s="444"/>
      <c r="AE5" s="444"/>
      <c r="AF5" s="444"/>
      <c r="AG5" s="444"/>
      <c r="AH5" s="445" t="s">
        <v>364</v>
      </c>
      <c r="AI5" s="445" t="s">
        <v>368</v>
      </c>
      <c r="AJ5" s="445">
        <v>126.95</v>
      </c>
      <c r="AK5" s="29">
        <v>53.27</v>
      </c>
      <c r="AL5" s="444">
        <f t="shared" si="0"/>
        <v>180.22</v>
      </c>
      <c r="AM5" s="444"/>
      <c r="AN5" s="444"/>
      <c r="AO5" s="444"/>
      <c r="AP5" s="444"/>
      <c r="AQ5" s="444"/>
      <c r="AR5" s="444"/>
      <c r="AS5" s="444"/>
      <c r="AT5" s="444"/>
      <c r="AU5" s="444"/>
      <c r="AV5" s="234"/>
      <c r="AW5" s="234"/>
      <c r="AX5" s="234"/>
      <c r="AY5" s="234"/>
      <c r="AZ5" s="234"/>
      <c r="BA5" s="234"/>
      <c r="BB5" s="234"/>
      <c r="BC5" s="234"/>
      <c r="BD5" s="234"/>
    </row>
    <row r="6" spans="2:56" x14ac:dyDescent="0.25">
      <c r="B6" s="9"/>
      <c r="C6" s="10"/>
      <c r="D6" s="6"/>
      <c r="E6" s="6"/>
      <c r="F6" s="6"/>
      <c r="G6" s="6"/>
      <c r="H6" s="6"/>
      <c r="I6" s="6"/>
      <c r="J6" s="6"/>
      <c r="K6" s="6"/>
      <c r="L6" s="6"/>
      <c r="M6" s="6"/>
      <c r="N6" s="6"/>
      <c r="O6" s="6"/>
      <c r="P6" s="6"/>
      <c r="Q6" s="6"/>
      <c r="R6" s="6"/>
      <c r="S6" s="28"/>
      <c r="T6" s="444"/>
      <c r="U6" s="456"/>
      <c r="V6" s="444"/>
      <c r="W6" s="444"/>
      <c r="X6" s="444"/>
      <c r="Y6" s="444"/>
      <c r="Z6" s="444"/>
      <c r="AA6" s="444"/>
      <c r="AB6" s="444"/>
      <c r="AC6" s="444"/>
      <c r="AD6" s="444"/>
      <c r="AE6" s="444"/>
      <c r="AF6" s="444">
        <f>IF(K46=AF1,1,2)</f>
        <v>1</v>
      </c>
      <c r="AG6" s="444">
        <f>IF(P46=U34,1,2)</f>
        <v>1</v>
      </c>
      <c r="AH6" s="445" t="s">
        <v>252</v>
      </c>
      <c r="AI6" s="446" t="s">
        <v>251</v>
      </c>
      <c r="AJ6" s="445">
        <v>170.1</v>
      </c>
      <c r="AK6" s="29">
        <v>53.27</v>
      </c>
      <c r="AL6" s="444">
        <f t="shared" si="0"/>
        <v>223.37</v>
      </c>
      <c r="AM6" s="444"/>
      <c r="AN6" s="444"/>
      <c r="AO6" s="444"/>
      <c r="AP6" s="444"/>
      <c r="AQ6" s="444"/>
      <c r="AR6" s="444"/>
      <c r="AS6" s="444"/>
      <c r="AT6" s="444"/>
      <c r="AU6" s="444"/>
      <c r="AV6" s="234"/>
      <c r="AW6" s="234"/>
      <c r="AX6" s="234"/>
      <c r="AY6" s="234"/>
      <c r="AZ6" s="234"/>
      <c r="BA6" s="234"/>
      <c r="BB6" s="234"/>
      <c r="BC6" s="234"/>
      <c r="BD6" s="234"/>
    </row>
    <row r="7" spans="2:56" ht="15" customHeight="1" x14ac:dyDescent="0.25">
      <c r="B7" s="9"/>
      <c r="C7" s="10"/>
      <c r="D7" s="6"/>
      <c r="E7" s="6"/>
      <c r="F7" s="6"/>
      <c r="G7" s="6"/>
      <c r="H7" s="6"/>
      <c r="I7" s="6"/>
      <c r="J7" s="6"/>
      <c r="K7" s="6"/>
      <c r="L7" s="6"/>
      <c r="M7" s="6"/>
      <c r="N7" s="6"/>
      <c r="O7" s="6"/>
      <c r="P7" s="6"/>
      <c r="Q7" s="6"/>
      <c r="R7" s="6"/>
      <c r="S7" s="28"/>
      <c r="T7" s="444"/>
      <c r="U7" s="456"/>
      <c r="V7" s="444" t="s">
        <v>307</v>
      </c>
      <c r="W7" s="444">
        <v>70000000000</v>
      </c>
      <c r="X7" s="444"/>
      <c r="Y7" s="444"/>
      <c r="Z7" s="444"/>
      <c r="AA7" s="444"/>
      <c r="AB7" s="444"/>
      <c r="AC7" s="444"/>
      <c r="AD7" s="444"/>
      <c r="AE7" s="444"/>
      <c r="AF7" s="444"/>
      <c r="AG7" s="444"/>
      <c r="AH7" s="445" t="s">
        <v>365</v>
      </c>
      <c r="AI7" s="445" t="s">
        <v>369</v>
      </c>
      <c r="AJ7" s="445">
        <v>221.31</v>
      </c>
      <c r="AK7" s="29">
        <v>111.67</v>
      </c>
      <c r="AL7" s="444">
        <f t="shared" si="0"/>
        <v>332.98</v>
      </c>
      <c r="AM7" s="444"/>
      <c r="AN7" s="444"/>
      <c r="AO7" s="444"/>
      <c r="AP7" s="444"/>
      <c r="AQ7" s="444"/>
      <c r="AR7" s="444"/>
      <c r="AS7" s="444"/>
      <c r="AT7" s="444"/>
      <c r="AU7" s="444"/>
      <c r="AV7" s="234"/>
      <c r="AW7" s="234"/>
      <c r="AX7" s="234"/>
      <c r="AY7" s="234"/>
      <c r="AZ7" s="234"/>
      <c r="BA7" s="234"/>
      <c r="BB7" s="234"/>
      <c r="BC7" s="234"/>
      <c r="BD7" s="234"/>
    </row>
    <row r="8" spans="2:56" ht="15" customHeight="1" x14ac:dyDescent="0.25">
      <c r="B8" s="9"/>
      <c r="C8" s="10"/>
      <c r="D8" s="16"/>
      <c r="E8" s="250"/>
      <c r="F8" s="250"/>
      <c r="G8" s="250"/>
      <c r="H8" s="250"/>
      <c r="I8" s="250"/>
      <c r="J8" s="250"/>
      <c r="K8" s="250"/>
      <c r="L8" s="10"/>
      <c r="M8" s="10"/>
      <c r="N8" s="10"/>
      <c r="O8" s="10"/>
      <c r="P8" s="6"/>
      <c r="Q8" s="10"/>
      <c r="R8" s="10"/>
      <c r="S8" s="15"/>
      <c r="T8" s="444"/>
      <c r="U8" s="456"/>
      <c r="V8" s="444" t="s">
        <v>310</v>
      </c>
      <c r="W8" s="444">
        <f>IF(W5&lt;3,W5/200,IF(W5&lt;7.5,W5/300+0.005,W5/250))</f>
        <v>0</v>
      </c>
      <c r="X8" s="444"/>
      <c r="Y8" s="444"/>
      <c r="Z8" s="444"/>
      <c r="AA8" s="444"/>
      <c r="AB8" s="444"/>
      <c r="AC8" s="444"/>
      <c r="AD8" s="444"/>
      <c r="AE8" s="444"/>
      <c r="AF8" s="444"/>
      <c r="AG8" s="444"/>
      <c r="AH8" s="445" t="s">
        <v>254</v>
      </c>
      <c r="AI8" s="446" t="s">
        <v>253</v>
      </c>
      <c r="AJ8" s="445">
        <v>280.5</v>
      </c>
      <c r="AK8" s="29">
        <v>111.67</v>
      </c>
      <c r="AL8" s="444">
        <f t="shared" si="0"/>
        <v>392.17</v>
      </c>
      <c r="AM8" s="444"/>
      <c r="AN8" s="444"/>
      <c r="AO8" s="444"/>
      <c r="AP8" s="444"/>
      <c r="AQ8" s="444"/>
      <c r="AR8" s="444"/>
      <c r="AS8" s="444"/>
      <c r="AT8" s="444"/>
      <c r="AU8" s="444"/>
      <c r="AV8" s="234"/>
      <c r="AW8" s="234"/>
      <c r="AX8" s="234"/>
      <c r="AY8" s="234"/>
      <c r="AZ8" s="234"/>
      <c r="BA8" s="234"/>
      <c r="BB8" s="234"/>
      <c r="BC8" s="234"/>
      <c r="BD8" s="234"/>
    </row>
    <row r="9" spans="2:56" ht="15" customHeight="1" x14ac:dyDescent="0.25">
      <c r="B9" s="9"/>
      <c r="C9" s="10"/>
      <c r="D9" s="10"/>
      <c r="E9" s="271"/>
      <c r="F9" s="271"/>
      <c r="G9" s="271"/>
      <c r="H9" s="271"/>
      <c r="I9" s="271"/>
      <c r="J9" s="271"/>
      <c r="K9" s="271"/>
      <c r="L9" s="10"/>
      <c r="M9" s="10"/>
      <c r="N9" s="10"/>
      <c r="O9" s="10"/>
      <c r="P9" s="17"/>
      <c r="Q9" s="17"/>
      <c r="R9" s="17"/>
      <c r="S9" s="15"/>
      <c r="T9" s="444"/>
      <c r="U9" s="456"/>
      <c r="V9" s="444"/>
      <c r="W9" s="444"/>
      <c r="X9" s="444"/>
      <c r="Y9" s="444"/>
      <c r="Z9" s="444"/>
      <c r="AA9" s="444"/>
      <c r="AB9" s="444"/>
      <c r="AC9" s="444"/>
      <c r="AD9" s="444"/>
      <c r="AE9" s="444"/>
      <c r="AF9" s="444"/>
      <c r="AG9" s="444"/>
      <c r="AH9" s="445" t="s">
        <v>366</v>
      </c>
      <c r="AI9" s="445" t="s">
        <v>370</v>
      </c>
      <c r="AJ9" s="445">
        <v>355.58</v>
      </c>
      <c r="AK9" s="29">
        <v>198.42</v>
      </c>
      <c r="AL9" s="444">
        <f t="shared" si="0"/>
        <v>554</v>
      </c>
      <c r="AM9" s="444"/>
      <c r="AN9" s="444"/>
      <c r="AO9" s="444"/>
      <c r="AP9" s="444"/>
      <c r="AQ9" s="444"/>
      <c r="AR9" s="444"/>
      <c r="AS9" s="444"/>
      <c r="AT9" s="444"/>
      <c r="AU9" s="444"/>
      <c r="AV9" s="234"/>
      <c r="AW9" s="234"/>
      <c r="AX9" s="234"/>
      <c r="AY9" s="234"/>
      <c r="AZ9" s="234"/>
      <c r="BA9" s="234"/>
      <c r="BB9" s="234"/>
      <c r="BC9" s="234"/>
      <c r="BD9" s="234"/>
    </row>
    <row r="10" spans="2:56" ht="15" customHeight="1" x14ac:dyDescent="0.25">
      <c r="B10" s="9"/>
      <c r="C10" s="10"/>
      <c r="D10" s="10"/>
      <c r="E10" s="10"/>
      <c r="F10" s="10"/>
      <c r="G10" s="10"/>
      <c r="H10" s="10"/>
      <c r="I10" s="10"/>
      <c r="J10" s="10"/>
      <c r="K10" s="10"/>
      <c r="L10" s="10"/>
      <c r="M10" s="10"/>
      <c r="N10" s="10"/>
      <c r="O10" s="10"/>
      <c r="P10" s="17"/>
      <c r="Q10" s="17"/>
      <c r="R10" s="17"/>
      <c r="S10" s="15"/>
      <c r="T10" s="444"/>
      <c r="U10" s="456"/>
      <c r="V10" s="444" t="s">
        <v>6</v>
      </c>
      <c r="W10" s="444">
        <f>IF(W5&gt;W3,W3/2,W5/2)</f>
        <v>0</v>
      </c>
      <c r="X10" s="444"/>
      <c r="Y10" s="444"/>
      <c r="Z10" s="444"/>
      <c r="AA10" s="444"/>
      <c r="AB10" s="444"/>
      <c r="AC10" s="444"/>
      <c r="AD10" s="444"/>
      <c r="AE10" s="444"/>
      <c r="AF10" s="444"/>
      <c r="AG10" s="444"/>
      <c r="AH10" s="445" t="s">
        <v>256</v>
      </c>
      <c r="AI10" s="446" t="s">
        <v>255</v>
      </c>
      <c r="AJ10" s="445">
        <v>424.4</v>
      </c>
      <c r="AK10" s="29">
        <v>198.42</v>
      </c>
      <c r="AL10" s="444">
        <f t="shared" si="0"/>
        <v>622.81999999999994</v>
      </c>
      <c r="AM10" s="444"/>
      <c r="AN10" s="444"/>
      <c r="AO10" s="444"/>
      <c r="AP10" s="444"/>
      <c r="AQ10" s="444"/>
      <c r="AR10" s="444"/>
      <c r="AS10" s="444"/>
      <c r="AT10" s="444"/>
      <c r="AU10" s="444"/>
      <c r="AV10" s="234"/>
      <c r="AW10" s="234"/>
      <c r="AX10" s="234"/>
      <c r="AY10" s="234"/>
      <c r="AZ10" s="234"/>
      <c r="BA10" s="234"/>
      <c r="BB10" s="234"/>
      <c r="BC10" s="234"/>
      <c r="BD10" s="234"/>
    </row>
    <row r="11" spans="2:56" ht="15" customHeight="1" x14ac:dyDescent="0.5">
      <c r="B11" s="9"/>
      <c r="C11" s="10"/>
      <c r="D11" s="18"/>
      <c r="E11" s="10"/>
      <c r="F11" s="10"/>
      <c r="G11" s="10"/>
      <c r="H11" s="10"/>
      <c r="I11" s="10"/>
      <c r="J11" s="10"/>
      <c r="K11" s="6"/>
      <c r="L11" s="6"/>
      <c r="M11" s="6"/>
      <c r="N11" s="6"/>
      <c r="O11" s="6"/>
      <c r="P11" s="6"/>
      <c r="Q11" s="6"/>
      <c r="R11" s="6"/>
      <c r="S11" s="15"/>
      <c r="T11" s="444"/>
      <c r="U11" s="456"/>
      <c r="V11" s="444" t="s">
        <v>7</v>
      </c>
      <c r="W11" s="444">
        <f>IF(W5&gt;W4,W4/2,W5/2)</f>
        <v>0</v>
      </c>
      <c r="X11" s="444"/>
      <c r="Y11" s="444"/>
      <c r="Z11" s="444"/>
      <c r="AA11" s="444"/>
      <c r="AB11" s="444"/>
      <c r="AC11" s="444"/>
      <c r="AD11" s="444"/>
      <c r="AE11" s="444"/>
      <c r="AF11" s="444"/>
      <c r="AG11" s="444"/>
      <c r="AH11" s="445" t="s">
        <v>258</v>
      </c>
      <c r="AI11" s="446" t="s">
        <v>257</v>
      </c>
      <c r="AJ11" s="445">
        <v>612.82000000000005</v>
      </c>
      <c r="AK11" s="29">
        <v>307.29000000000002</v>
      </c>
      <c r="AL11" s="444">
        <f t="shared" ref="AL11:AL13" si="1">AJ11+AK11</f>
        <v>920.11000000000013</v>
      </c>
      <c r="AM11" s="444"/>
      <c r="AN11" s="444"/>
      <c r="AO11" s="444"/>
      <c r="AP11" s="444"/>
      <c r="AQ11" s="444"/>
      <c r="AR11" s="444"/>
      <c r="AS11" s="444"/>
      <c r="AT11" s="444"/>
      <c r="AU11" s="444"/>
      <c r="AV11" s="234"/>
      <c r="AW11" s="234"/>
      <c r="AX11" s="234"/>
      <c r="AY11" s="234"/>
      <c r="AZ11" s="234"/>
      <c r="BA11" s="234"/>
      <c r="BB11" s="234"/>
      <c r="BC11" s="234"/>
      <c r="BD11" s="234"/>
    </row>
    <row r="12" spans="2:56" ht="15" customHeight="1" x14ac:dyDescent="0.25">
      <c r="B12" s="9"/>
      <c r="C12" s="10"/>
      <c r="D12" s="20" t="s">
        <v>50</v>
      </c>
      <c r="E12" s="530">
        <f>'Navigation Page'!D16</f>
        <v>0</v>
      </c>
      <c r="F12" s="567"/>
      <c r="G12" s="567"/>
      <c r="H12" s="567"/>
      <c r="I12" s="20" t="s">
        <v>51</v>
      </c>
      <c r="J12" s="567">
        <f>'Navigation Page'!I16</f>
        <v>0</v>
      </c>
      <c r="K12" s="567"/>
      <c r="L12" s="20" t="s">
        <v>52</v>
      </c>
      <c r="M12" s="526">
        <f>'Navigation Page'!K16</f>
        <v>0</v>
      </c>
      <c r="N12" s="526"/>
      <c r="O12" s="526"/>
      <c r="P12" s="526"/>
      <c r="Q12" s="20" t="s">
        <v>53</v>
      </c>
      <c r="R12" s="402">
        <f>'Navigation Page'!O16</f>
        <v>0</v>
      </c>
      <c r="S12" s="15"/>
      <c r="T12" s="444"/>
      <c r="U12" s="456"/>
      <c r="V12" s="444" t="s">
        <v>311</v>
      </c>
      <c r="W12" s="444"/>
      <c r="X12" s="444"/>
      <c r="Y12" s="444"/>
      <c r="Z12" s="444"/>
      <c r="AA12" s="444"/>
      <c r="AB12" s="444"/>
      <c r="AC12" s="444"/>
      <c r="AD12" s="444"/>
      <c r="AE12" s="444"/>
      <c r="AF12" s="444"/>
      <c r="AG12" s="444"/>
      <c r="AH12" s="445" t="s">
        <v>260</v>
      </c>
      <c r="AI12" s="446" t="s">
        <v>259</v>
      </c>
      <c r="AJ12" s="445">
        <v>998.91</v>
      </c>
      <c r="AK12" s="29">
        <v>440.29</v>
      </c>
      <c r="AL12" s="444">
        <f t="shared" si="1"/>
        <v>1439.2</v>
      </c>
      <c r="AM12" s="444"/>
      <c r="AN12" s="444"/>
      <c r="AO12" s="444"/>
      <c r="AP12" s="444"/>
      <c r="AQ12" s="444"/>
      <c r="AR12" s="444"/>
      <c r="AS12" s="444"/>
      <c r="AT12" s="444"/>
      <c r="AU12" s="444"/>
      <c r="AV12" s="234"/>
      <c r="AW12" s="234"/>
      <c r="AX12" s="234"/>
      <c r="AY12" s="234"/>
      <c r="AZ12" s="234"/>
      <c r="BA12" s="234"/>
      <c r="BB12" s="234"/>
      <c r="BC12" s="234"/>
      <c r="BD12" s="234"/>
    </row>
    <row r="13" spans="2:56" ht="15" customHeight="1" x14ac:dyDescent="0.25">
      <c r="B13" s="9"/>
      <c r="C13" s="10"/>
      <c r="D13" s="243" t="s">
        <v>54</v>
      </c>
      <c r="E13" s="530">
        <f>'Navigation Page'!D17</f>
        <v>0</v>
      </c>
      <c r="F13" s="567"/>
      <c r="G13" s="567"/>
      <c r="H13" s="567"/>
      <c r="I13" s="243" t="s">
        <v>55</v>
      </c>
      <c r="J13" s="572">
        <f ca="1">'Navigation Page'!I17</f>
        <v>42251</v>
      </c>
      <c r="K13" s="567"/>
      <c r="L13" s="243" t="s">
        <v>56</v>
      </c>
      <c r="M13" s="272">
        <f>'Navigation Page'!K17</f>
        <v>0</v>
      </c>
      <c r="N13" s="273" t="s">
        <v>57</v>
      </c>
      <c r="O13" s="525">
        <f>'Navigation Page'!M17</f>
        <v>0</v>
      </c>
      <c r="P13" s="526"/>
      <c r="Q13" s="243" t="s">
        <v>58</v>
      </c>
      <c r="R13" s="25">
        <f>'Navigation Page'!O17+4</f>
        <v>5</v>
      </c>
      <c r="S13" s="15"/>
      <c r="T13" s="444"/>
      <c r="U13" s="456"/>
      <c r="V13" s="444" t="s">
        <v>312</v>
      </c>
      <c r="W13" s="444">
        <f>IF(W5&gt;W3,W3*W2/2,W5*W2/2)</f>
        <v>0</v>
      </c>
      <c r="X13" s="444" t="s">
        <v>315</v>
      </c>
      <c r="Y13" s="444">
        <f>IF(W5&gt;W4,W4*W2/2,W5*W2/2)</f>
        <v>0</v>
      </c>
      <c r="Z13" s="444" t="s">
        <v>333</v>
      </c>
      <c r="AA13" s="444">
        <f>ABS(30*COS(Z1))</f>
        <v>1.83772268236293E-15</v>
      </c>
      <c r="AB13" s="444"/>
      <c r="AC13" s="444"/>
      <c r="AD13" s="444"/>
      <c r="AE13" s="444"/>
      <c r="AF13" s="444"/>
      <c r="AG13" s="444"/>
      <c r="AH13" s="445" t="s">
        <v>261</v>
      </c>
      <c r="AI13" s="446"/>
      <c r="AJ13" s="445">
        <v>2170</v>
      </c>
      <c r="AK13" s="29"/>
      <c r="AL13" s="444">
        <f t="shared" si="1"/>
        <v>2170</v>
      </c>
      <c r="AM13" s="444"/>
      <c r="AN13" s="444"/>
      <c r="AO13" s="444"/>
      <c r="AP13" s="444"/>
      <c r="AQ13" s="444"/>
      <c r="AR13" s="444"/>
      <c r="AS13" s="444"/>
      <c r="AT13" s="444"/>
      <c r="AU13" s="444"/>
      <c r="AV13" s="234"/>
      <c r="AW13" s="234"/>
      <c r="AX13" s="234"/>
      <c r="AY13" s="234"/>
      <c r="AZ13" s="234"/>
      <c r="BA13" s="234"/>
      <c r="BB13" s="234"/>
      <c r="BC13" s="234"/>
      <c r="BD13" s="234"/>
    </row>
    <row r="14" spans="2:56" ht="15" customHeight="1" x14ac:dyDescent="0.25">
      <c r="B14" s="9"/>
      <c r="C14" s="10"/>
      <c r="D14" s="6"/>
      <c r="E14" s="6"/>
      <c r="F14" s="6"/>
      <c r="G14" s="6"/>
      <c r="H14" s="6"/>
      <c r="I14" s="10"/>
      <c r="J14" s="10"/>
      <c r="K14" s="6"/>
      <c r="L14" s="6"/>
      <c r="M14" s="6"/>
      <c r="N14" s="6"/>
      <c r="O14" s="6"/>
      <c r="P14" s="10"/>
      <c r="Q14" s="10"/>
      <c r="R14" s="26"/>
      <c r="S14" s="15"/>
      <c r="T14" s="444"/>
      <c r="U14" s="456"/>
      <c r="V14" s="444" t="s">
        <v>313</v>
      </c>
      <c r="W14" s="444">
        <f>ABS(IF(W5&gt;W3,W3*W1/2,W5*W1/2)*COS(Z1))</f>
        <v>0</v>
      </c>
      <c r="X14" s="444" t="s">
        <v>316</v>
      </c>
      <c r="Y14" s="444">
        <f>ABS(IF(W5&gt;W4,W4*W1/2,W5*W1/2)*COS(Z1))</f>
        <v>0</v>
      </c>
      <c r="Z14" s="444"/>
      <c r="AA14" s="444"/>
      <c r="AB14" s="444"/>
      <c r="AC14" s="444"/>
      <c r="AD14" s="444"/>
      <c r="AE14" s="444"/>
      <c r="AF14" s="444"/>
      <c r="AG14" s="444"/>
      <c r="AH14" s="444"/>
      <c r="AI14" s="444"/>
      <c r="AJ14" s="444"/>
      <c r="AK14" s="444"/>
      <c r="AL14" s="444"/>
      <c r="AM14" s="444"/>
      <c r="AN14" s="444"/>
      <c r="AO14" s="444"/>
      <c r="AP14" s="444"/>
      <c r="AQ14" s="444"/>
      <c r="AR14" s="444"/>
      <c r="AS14" s="444"/>
      <c r="AT14" s="444"/>
      <c r="AU14" s="444"/>
      <c r="AV14" s="234"/>
      <c r="AW14" s="234"/>
      <c r="AX14" s="234"/>
      <c r="AY14" s="234"/>
      <c r="AZ14" s="234"/>
      <c r="BA14" s="234"/>
      <c r="BB14" s="234"/>
      <c r="BC14" s="234"/>
      <c r="BD14" s="234"/>
    </row>
    <row r="15" spans="2:56" ht="15" customHeight="1" x14ac:dyDescent="0.3">
      <c r="B15" s="9"/>
      <c r="C15" s="10"/>
      <c r="D15" s="27" t="s">
        <v>220</v>
      </c>
      <c r="E15" s="10"/>
      <c r="F15" s="10"/>
      <c r="G15" s="10"/>
      <c r="H15" s="10"/>
      <c r="I15" s="10"/>
      <c r="J15" s="10"/>
      <c r="K15" s="6"/>
      <c r="L15" s="6"/>
      <c r="M15" s="6"/>
      <c r="N15" s="6"/>
      <c r="O15" s="6"/>
      <c r="P15" s="10"/>
      <c r="Q15" s="6"/>
      <c r="R15" s="6"/>
      <c r="S15" s="28"/>
      <c r="T15" s="444"/>
      <c r="U15" s="456"/>
      <c r="V15" s="444" t="s">
        <v>314</v>
      </c>
      <c r="W15" s="444">
        <f>IF(O41&gt;60,0,ABS(IF(W5&gt;W3,W3*750/2,W5*750/2)*COS(Z1)))</f>
        <v>0</v>
      </c>
      <c r="X15" s="444" t="s">
        <v>317</v>
      </c>
      <c r="Y15" s="444">
        <f>IF(O41&gt;60,0,ABS(IF(W5&gt;W4,W4*750/2,W5*750/2)*COS(Z1)))</f>
        <v>0</v>
      </c>
      <c r="Z15" s="444"/>
      <c r="AA15" s="444"/>
      <c r="AB15" s="444"/>
      <c r="AC15" s="444"/>
      <c r="AD15" s="444"/>
      <c r="AE15" s="444"/>
      <c r="AF15" s="444"/>
      <c r="AG15" s="444"/>
      <c r="AH15" s="444"/>
      <c r="AI15" s="444"/>
      <c r="AJ15" s="444"/>
      <c r="AK15" s="444"/>
      <c r="AL15" s="444"/>
      <c r="AM15" s="444"/>
      <c r="AN15" s="444"/>
      <c r="AO15" s="444"/>
      <c r="AP15" s="444"/>
      <c r="AQ15" s="444"/>
      <c r="AR15" s="444"/>
      <c r="AS15" s="444"/>
      <c r="AT15" s="444"/>
      <c r="AU15" s="444"/>
      <c r="AV15" s="234"/>
      <c r="AW15" s="234"/>
      <c r="AX15" s="234"/>
      <c r="AY15" s="234"/>
      <c r="AZ15" s="234"/>
      <c r="BA15" s="234"/>
      <c r="BB15" s="234"/>
      <c r="BC15" s="234"/>
      <c r="BD15" s="234"/>
    </row>
    <row r="16" spans="2:56" ht="15" customHeight="1" x14ac:dyDescent="0.25">
      <c r="B16" s="9"/>
      <c r="C16" s="10"/>
      <c r="D16" s="10"/>
      <c r="E16" s="10"/>
      <c r="F16" s="10"/>
      <c r="G16" s="10"/>
      <c r="H16" s="10"/>
      <c r="I16" s="10"/>
      <c r="J16" s="10"/>
      <c r="K16" s="6"/>
      <c r="L16" s="6"/>
      <c r="M16" s="6"/>
      <c r="N16" s="6"/>
      <c r="O16" s="6"/>
      <c r="P16" s="29"/>
      <c r="Q16" s="6"/>
      <c r="R16" s="6"/>
      <c r="S16" s="28"/>
      <c r="T16" s="444"/>
      <c r="U16" s="456"/>
      <c r="V16" s="444" t="s">
        <v>319</v>
      </c>
      <c r="W16" s="444">
        <f>W13+W14+W15</f>
        <v>0</v>
      </c>
      <c r="X16" s="444" t="s">
        <v>320</v>
      </c>
      <c r="Y16" s="444">
        <f>Y13+Y14+Y15</f>
        <v>0</v>
      </c>
      <c r="Z16" s="444"/>
      <c r="AA16" s="444"/>
      <c r="AB16" s="444"/>
      <c r="AC16" s="444"/>
      <c r="AD16" s="444"/>
      <c r="AE16" s="444"/>
      <c r="AF16" s="444"/>
      <c r="AG16" s="444"/>
      <c r="AH16" s="444" t="e">
        <f>IF(W19&lt;AJ2,AH2,IF(W19&lt;AJ3,AH3,IF(W19&lt;AJ4,AH4,IF(W19&lt;AJ5,AH5,IF(W19&lt;AJ6,AH6,IF(W19&lt;AJ7,AH7,IF(W19&lt;AJ8,AH8,IF(W19&lt;AJ9,AH9,IF(W19&lt;AJ10,AH10,IF(W19&lt;AJ11,AH11,IF(W19&lt;AJ12,AH12,IF(W19&lt;AJ13,AH13,"NA"))))))))))))</f>
        <v>#DIV/0!</v>
      </c>
      <c r="AI16" s="444" t="e">
        <f>IF(W19&lt;AL2,AI2,IF(W19&lt;AL3,AI3,IF(W19&lt;AL4,AI4,IF(W19&lt;AL5,AI5,IF(W19&lt;AL6,AI6,IF(W19&lt;AL7,AI7,IF(W19&lt;AL8,AI8,IF(W19&lt;AL9,AI9,IF(W19&lt;AL10,AI10,IF(W19&lt;AL11,AI11,IF(W19&lt;AL12,AI12,"NA")))))))))))</f>
        <v>#DIV/0!</v>
      </c>
      <c r="AJ16" s="444" t="e">
        <f>IF(W19&lt;AJ2,AJ2,IF(W19&lt;AJ3,AJ3,IF(W19&lt;AJ4,AJ4,IF(W19&lt;AJ5,AJ5,IF(W19&lt;AJ6,AJ6,IF(W19&lt;AJ7,AJ7,IF(W19&lt;AJ8,AJ8,IF(W19&lt;AJ9,AJ9,IF(W19&lt;AJ10,AJ10,IF(W19&lt;AJ11,AJ11,IF(W19&lt;AJ12,AJ12,IF(W19&lt;AJ13,AJ13,"NA"))))))))))))</f>
        <v>#DIV/0!</v>
      </c>
      <c r="AK16" s="444"/>
      <c r="AL16" s="444" t="e">
        <f>IF(W19&lt;AL2,AL2,IF(W19&lt;AL3,AL3,IF(W19&lt;AL4,AL4,IF(W19&lt;AL5,AL5,IF(W19&lt;AL6,AL6,IF(W19&lt;AL7,AL7,IF(W19&lt;AL8,AL8,IF(W19&lt;AL9,AL9,IF(W19&lt;AL10,AL10,IF(W19&lt;AL11,AL11,IF(W19&lt;AL12,AL12,"NA")))))))))))</f>
        <v>#DIV/0!</v>
      </c>
      <c r="AM16" s="444"/>
      <c r="AN16" s="444"/>
      <c r="AO16" s="444" t="e">
        <f>IF(W19&lt;AQ2,AO2,"NA")</f>
        <v>#DIV/0!</v>
      </c>
      <c r="AP16" s="444" t="e">
        <f>IF(W19&lt;AS2,AP2,"NA")</f>
        <v>#DIV/0!</v>
      </c>
      <c r="AQ16" s="444" t="e">
        <f>IF(W19&lt;AQ2,AQ2,"NA")</f>
        <v>#DIV/0!</v>
      </c>
      <c r="AR16" s="444"/>
      <c r="AS16" s="444" t="e">
        <f>IF(W19&lt;AS2,AS2,"NA")</f>
        <v>#DIV/0!</v>
      </c>
      <c r="AT16" s="444"/>
      <c r="AU16" s="444"/>
      <c r="AV16" s="234"/>
      <c r="AW16" s="234"/>
      <c r="AX16" s="234"/>
      <c r="AY16" s="234"/>
      <c r="AZ16" s="234"/>
      <c r="BA16" s="234"/>
      <c r="BB16" s="234"/>
      <c r="BC16" s="234"/>
      <c r="BD16" s="234"/>
    </row>
    <row r="17" spans="2:56" ht="15" customHeight="1" x14ac:dyDescent="0.25">
      <c r="B17" s="9"/>
      <c r="C17" s="10"/>
      <c r="D17" s="10"/>
      <c r="E17" s="10"/>
      <c r="F17" s="10"/>
      <c r="G17" s="10"/>
      <c r="H17" s="10"/>
      <c r="I17" s="10"/>
      <c r="J17" s="10"/>
      <c r="K17" s="6"/>
      <c r="L17" s="6"/>
      <c r="M17" s="6"/>
      <c r="N17" s="6"/>
      <c r="O17" s="14"/>
      <c r="P17" s="29"/>
      <c r="Q17" s="26"/>
      <c r="R17" s="16"/>
      <c r="S17" s="15"/>
      <c r="T17" s="444"/>
      <c r="U17" s="456"/>
      <c r="V17" s="444" t="s">
        <v>321</v>
      </c>
      <c r="W17" s="444" t="e">
        <f>W16*(5*W5^2-4*W10^2)^2/(1920*W7*W8)</f>
        <v>#DIV/0!</v>
      </c>
      <c r="X17" s="444" t="s">
        <v>322</v>
      </c>
      <c r="Y17" s="444" t="e">
        <f>Y16*(5*W5^2-4*W11^2)^2/(1920*W7*W8)</f>
        <v>#DIV/0!</v>
      </c>
      <c r="Z17" s="444" t="s">
        <v>334</v>
      </c>
      <c r="AA17" s="444" t="e">
        <f>5*AA13*W5^4/(384*W7*W8)</f>
        <v>#DIV/0!</v>
      </c>
      <c r="AB17" s="444"/>
      <c r="AC17" s="444"/>
      <c r="AD17" s="444"/>
      <c r="AE17" s="444"/>
      <c r="AF17" s="444">
        <f>IF(AF6=1,AI1,AP1)</f>
        <v>70000000000</v>
      </c>
      <c r="AG17" s="444"/>
      <c r="AH17" s="444"/>
      <c r="AI17" s="444" t="e">
        <f>IF(AG6=1,AH16,AI16)</f>
        <v>#DIV/0!</v>
      </c>
      <c r="AJ17" s="444"/>
      <c r="AK17" s="444"/>
      <c r="AL17" s="444" t="e">
        <f>IF(AG6=1,AJ16,AL16)</f>
        <v>#DIV/0!</v>
      </c>
      <c r="AM17" s="444"/>
      <c r="AN17" s="444"/>
      <c r="AO17" s="444"/>
      <c r="AP17" s="444" t="e">
        <f>IF(AG6=1,AO16,AP16)</f>
        <v>#DIV/0!</v>
      </c>
      <c r="AQ17" s="444"/>
      <c r="AR17" s="444"/>
      <c r="AS17" s="444" t="e">
        <f>IF(AG6=1,AQ16,AS16)</f>
        <v>#DIV/0!</v>
      </c>
      <c r="AT17" s="444"/>
      <c r="AU17" s="444"/>
      <c r="AV17" s="234"/>
      <c r="AW17" s="234"/>
      <c r="AX17" s="234"/>
      <c r="AY17" s="234"/>
      <c r="AZ17" s="234"/>
      <c r="BA17" s="234"/>
      <c r="BB17" s="234"/>
      <c r="BC17" s="234"/>
      <c r="BD17" s="234"/>
    </row>
    <row r="18" spans="2:56" ht="15" customHeight="1" x14ac:dyDescent="0.25">
      <c r="B18" s="9"/>
      <c r="C18" s="10"/>
      <c r="D18" s="10"/>
      <c r="E18" s="10"/>
      <c r="F18" s="10"/>
      <c r="G18" s="10"/>
      <c r="H18" s="10"/>
      <c r="I18" s="10"/>
      <c r="J18" s="10"/>
      <c r="K18" s="6"/>
      <c r="L18" s="6"/>
      <c r="M18" s="6"/>
      <c r="N18" s="6"/>
      <c r="O18" s="10"/>
      <c r="P18" s="29"/>
      <c r="Q18" s="26"/>
      <c r="R18" s="26"/>
      <c r="S18" s="15"/>
      <c r="T18" s="444"/>
      <c r="U18" s="456"/>
      <c r="V18" s="444" t="s">
        <v>323</v>
      </c>
      <c r="W18" s="444" t="e">
        <f>W17+Y17+AA17</f>
        <v>#DIV/0!</v>
      </c>
      <c r="X18" s="444" t="s">
        <v>15</v>
      </c>
      <c r="Y18" s="444"/>
      <c r="Z18" s="444"/>
      <c r="AA18" s="444"/>
      <c r="AB18" s="444"/>
      <c r="AC18" s="444"/>
      <c r="AD18" s="444"/>
      <c r="AE18" s="444"/>
      <c r="AF18" s="444"/>
      <c r="AG18" s="444"/>
      <c r="AH18" s="444"/>
      <c r="AI18" s="444"/>
      <c r="AJ18" s="444"/>
      <c r="AK18" s="444"/>
      <c r="AL18" s="444"/>
      <c r="AM18" s="444"/>
      <c r="AN18" s="444"/>
      <c r="AO18" s="444"/>
      <c r="AP18" s="444"/>
      <c r="AQ18" s="444"/>
      <c r="AR18" s="444"/>
      <c r="AS18" s="444"/>
      <c r="AT18" s="444"/>
      <c r="AU18" s="444"/>
      <c r="AV18" s="234"/>
      <c r="AW18" s="234"/>
      <c r="AX18" s="234"/>
      <c r="AY18" s="234"/>
      <c r="AZ18" s="234"/>
      <c r="BA18" s="234"/>
      <c r="BB18" s="234"/>
      <c r="BC18" s="234"/>
      <c r="BD18" s="234"/>
    </row>
    <row r="19" spans="2:56" x14ac:dyDescent="0.25">
      <c r="B19" s="9"/>
      <c r="C19" s="10"/>
      <c r="D19" s="10"/>
      <c r="E19" s="10"/>
      <c r="F19" s="10"/>
      <c r="G19" s="10"/>
      <c r="H19" s="10"/>
      <c r="I19" s="10"/>
      <c r="J19" s="10"/>
      <c r="K19" s="6"/>
      <c r="L19" s="6"/>
      <c r="M19" s="6"/>
      <c r="N19" s="235"/>
      <c r="O19" s="6"/>
      <c r="P19" s="29"/>
      <c r="Q19" s="6"/>
      <c r="R19" s="6"/>
      <c r="S19" s="28"/>
      <c r="T19" s="444"/>
      <c r="U19" s="456"/>
      <c r="V19" s="444" t="s">
        <v>323</v>
      </c>
      <c r="W19" s="444" t="e">
        <f>W18*100000000</f>
        <v>#DIV/0!</v>
      </c>
      <c r="X19" s="444" t="s">
        <v>16</v>
      </c>
      <c r="Y19" s="444"/>
      <c r="Z19" s="444"/>
      <c r="AA19" s="444"/>
      <c r="AB19" s="444"/>
      <c r="AC19" s="444"/>
      <c r="AD19" s="444"/>
      <c r="AE19" s="444"/>
      <c r="AF19" s="444"/>
      <c r="AG19" s="444"/>
      <c r="AH19" s="444"/>
      <c r="AI19" s="444"/>
      <c r="AJ19" s="444"/>
      <c r="AK19" s="444"/>
      <c r="AL19" s="444"/>
      <c r="AM19" s="444"/>
      <c r="AN19" s="444"/>
      <c r="AO19" s="444"/>
      <c r="AP19" s="444"/>
      <c r="AQ19" s="444"/>
      <c r="AR19" s="444"/>
      <c r="AS19" s="444"/>
      <c r="AT19" s="444"/>
      <c r="AU19" s="444"/>
      <c r="AV19" s="234"/>
      <c r="AW19" s="234"/>
      <c r="AX19" s="234"/>
      <c r="AY19" s="234"/>
      <c r="AZ19" s="234"/>
      <c r="BA19" s="234"/>
      <c r="BB19" s="234"/>
      <c r="BC19" s="234"/>
      <c r="BD19" s="234"/>
    </row>
    <row r="20" spans="2:56" x14ac:dyDescent="0.25">
      <c r="B20" s="9"/>
      <c r="C20" s="10"/>
      <c r="D20" s="10"/>
      <c r="E20" s="10"/>
      <c r="F20" s="10"/>
      <c r="G20" s="10"/>
      <c r="H20" s="10"/>
      <c r="I20" s="10"/>
      <c r="J20" s="10"/>
      <c r="K20" s="6"/>
      <c r="L20" s="6"/>
      <c r="M20" s="6"/>
      <c r="N20" s="6"/>
      <c r="O20" s="6"/>
      <c r="P20" s="29"/>
      <c r="Q20" s="6"/>
      <c r="R20" s="6"/>
      <c r="S20" s="28"/>
      <c r="T20" s="444"/>
      <c r="U20" s="456"/>
      <c r="V20" s="444" t="s">
        <v>17</v>
      </c>
      <c r="W20" s="444" t="e">
        <f>AI20/100000000</f>
        <v>#DIV/0!</v>
      </c>
      <c r="X20" s="444"/>
      <c r="Y20" s="444"/>
      <c r="Z20" s="444"/>
      <c r="AA20" s="444"/>
      <c r="AB20" s="444"/>
      <c r="AC20" s="444"/>
      <c r="AD20" s="444"/>
      <c r="AE20" s="444"/>
      <c r="AF20" s="444"/>
      <c r="AG20" s="444"/>
      <c r="AH20" s="444" t="e">
        <f>IF(AF6=1,AI17,AP17)</f>
        <v>#DIV/0!</v>
      </c>
      <c r="AI20" s="444" t="e">
        <f>IF(AF6=1,AL17,AS17)</f>
        <v>#DIV/0!</v>
      </c>
      <c r="AJ20" s="444"/>
      <c r="AK20" s="444"/>
      <c r="AL20" s="444"/>
      <c r="AM20" s="444"/>
      <c r="AN20" s="444"/>
      <c r="AO20" s="444"/>
      <c r="AP20" s="444"/>
      <c r="AQ20" s="444"/>
      <c r="AR20" s="444"/>
      <c r="AS20" s="444"/>
      <c r="AT20" s="444"/>
      <c r="AU20" s="444"/>
      <c r="AV20" s="234"/>
      <c r="AW20" s="234"/>
      <c r="AX20" s="234"/>
      <c r="AY20" s="234"/>
      <c r="AZ20" s="234"/>
      <c r="BA20" s="234"/>
      <c r="BB20" s="234"/>
      <c r="BC20" s="234"/>
      <c r="BD20" s="234"/>
    </row>
    <row r="21" spans="2:56" x14ac:dyDescent="0.25">
      <c r="B21" s="9"/>
      <c r="C21" s="10"/>
      <c r="D21" s="10"/>
      <c r="E21" s="10"/>
      <c r="F21" s="10"/>
      <c r="G21" s="10"/>
      <c r="H21" s="10"/>
      <c r="I21" s="10"/>
      <c r="J21" s="10"/>
      <c r="K21" s="6"/>
      <c r="L21" s="6"/>
      <c r="M21" s="6"/>
      <c r="N21" s="6"/>
      <c r="O21" s="6"/>
      <c r="P21" s="29"/>
      <c r="Q21" s="30"/>
      <c r="R21" s="26"/>
      <c r="S21" s="15"/>
      <c r="T21" s="444"/>
      <c r="U21" s="456"/>
      <c r="V21" s="444" t="s">
        <v>337</v>
      </c>
      <c r="W21" s="444"/>
      <c r="X21" s="444"/>
      <c r="Y21" s="444"/>
      <c r="Z21" s="444"/>
      <c r="AA21" s="444"/>
      <c r="AB21" s="444"/>
      <c r="AC21" s="444"/>
      <c r="AD21" s="444"/>
      <c r="AE21" s="444"/>
      <c r="AF21" s="444"/>
      <c r="AG21" s="444"/>
      <c r="AH21" s="444"/>
      <c r="AI21" s="444"/>
      <c r="AJ21" s="444"/>
      <c r="AK21" s="444"/>
      <c r="AL21" s="444"/>
      <c r="AM21" s="444"/>
      <c r="AN21" s="444"/>
      <c r="AO21" s="444"/>
      <c r="AP21" s="444"/>
      <c r="AQ21" s="444"/>
      <c r="AR21" s="444"/>
      <c r="AS21" s="444"/>
      <c r="AT21" s="444"/>
      <c r="AU21" s="444"/>
      <c r="AV21" s="234"/>
      <c r="AW21" s="234"/>
      <c r="AX21" s="234"/>
      <c r="AY21" s="234"/>
      <c r="AZ21" s="234"/>
      <c r="BA21" s="234"/>
      <c r="BB21" s="234"/>
      <c r="BC21" s="234"/>
      <c r="BD21" s="234"/>
    </row>
    <row r="22" spans="2:56" x14ac:dyDescent="0.25">
      <c r="B22" s="9"/>
      <c r="C22" s="10"/>
      <c r="D22" s="10"/>
      <c r="E22" s="10"/>
      <c r="F22" s="10"/>
      <c r="G22" s="10"/>
      <c r="H22" s="10"/>
      <c r="I22" s="10"/>
      <c r="J22" s="10"/>
      <c r="K22" s="10"/>
      <c r="L22" s="10"/>
      <c r="M22" s="10"/>
      <c r="N22" s="10"/>
      <c r="O22" s="10"/>
      <c r="P22" s="10"/>
      <c r="Q22" s="10"/>
      <c r="R22" s="10"/>
      <c r="S22" s="28"/>
      <c r="T22" s="444"/>
      <c r="U22" s="456"/>
      <c r="V22" s="444" t="s">
        <v>338</v>
      </c>
      <c r="W22" s="444" t="e">
        <f>W16*(5*W5^2-4*W10^2)^2/(1920*W7*W20)</f>
        <v>#DIV/0!</v>
      </c>
      <c r="X22" s="444" t="s">
        <v>339</v>
      </c>
      <c r="Y22" s="444" t="e">
        <f>Y16*(5*W5^2-4*W11^2)^2/(1920*W7*W20)</f>
        <v>#DIV/0!</v>
      </c>
      <c r="Z22" s="444" t="s">
        <v>340</v>
      </c>
      <c r="AA22" s="444" t="e">
        <f>5*AA13*W5^4/(384*W7*W20)</f>
        <v>#DIV/0!</v>
      </c>
      <c r="AB22" s="444"/>
      <c r="AC22" s="444"/>
      <c r="AD22" s="444"/>
      <c r="AE22" s="444"/>
      <c r="AF22" s="444"/>
      <c r="AG22" s="444"/>
      <c r="AH22" s="444"/>
      <c r="AI22" s="444"/>
      <c r="AJ22" s="444"/>
      <c r="AK22" s="444"/>
      <c r="AL22" s="444"/>
      <c r="AM22" s="444"/>
      <c r="AN22" s="444"/>
      <c r="AO22" s="444"/>
      <c r="AP22" s="444"/>
      <c r="AQ22" s="444"/>
      <c r="AR22" s="444"/>
      <c r="AS22" s="444"/>
      <c r="AT22" s="444"/>
      <c r="AU22" s="444"/>
      <c r="AV22" s="234"/>
      <c r="AW22" s="234"/>
      <c r="AX22" s="234"/>
      <c r="AY22" s="234"/>
      <c r="AZ22" s="234"/>
      <c r="BA22" s="234"/>
      <c r="BB22" s="234"/>
      <c r="BC22" s="234"/>
      <c r="BD22" s="234"/>
    </row>
    <row r="23" spans="2:56" x14ac:dyDescent="0.25">
      <c r="B23" s="9"/>
      <c r="C23" s="10"/>
      <c r="D23" s="10"/>
      <c r="E23" s="10"/>
      <c r="F23" s="10"/>
      <c r="G23" s="10"/>
      <c r="H23" s="10"/>
      <c r="I23" s="10"/>
      <c r="J23" s="10"/>
      <c r="K23" s="10"/>
      <c r="L23" s="10"/>
      <c r="M23" s="10"/>
      <c r="N23" s="10"/>
      <c r="O23" s="10"/>
      <c r="P23" s="10"/>
      <c r="Q23" s="10"/>
      <c r="R23" s="10"/>
      <c r="S23" s="28"/>
      <c r="T23" s="444"/>
      <c r="U23" s="456"/>
      <c r="V23" s="444" t="s">
        <v>341</v>
      </c>
      <c r="W23" s="444" t="e">
        <f>W22+Y22+AA22</f>
        <v>#DIV/0!</v>
      </c>
      <c r="X23" s="444"/>
      <c r="Y23" s="444"/>
      <c r="Z23" s="444"/>
      <c r="AA23" s="444"/>
      <c r="AB23" s="444"/>
      <c r="AC23" s="444"/>
      <c r="AD23" s="444"/>
      <c r="AE23" s="444"/>
      <c r="AF23" s="444">
        <f>IF(L66=U34,1,2)</f>
        <v>1</v>
      </c>
      <c r="AG23" s="444"/>
      <c r="AH23" s="444" t="e">
        <f>IF(G92&lt;AJ2,AH2,IF(G92&lt;AJ3,AH3,IF(G92&lt;AJ4,AH4,IF(G92&lt;AJ5,AH5,IF(G92&lt;AJ6,AH6,IF(G92&lt;AJ7,AH7,IF(G92&lt;AJ8,AH8,IF(G92&lt;AJ9,AH9,"NA"))))))))</f>
        <v>#DIV/0!</v>
      </c>
      <c r="AI23" s="444" t="e">
        <f>IF(G92&lt;AL2,AI2,IF(G92&lt;AL3,AI3,IF(G92&lt;AL4,AI4,IF(G92&lt;AL5,AI5,IF(G92&lt;AL6,AI6,IF(G92&lt;AL7,AI7,IF(G92&lt;AL8,AI8,IF(G92&lt;AL9,AI9,"NA"))))))))</f>
        <v>#DIV/0!</v>
      </c>
      <c r="AJ23" s="444"/>
      <c r="AK23" s="444"/>
      <c r="AL23" s="444"/>
      <c r="AM23" s="444"/>
      <c r="AN23" s="444"/>
      <c r="AO23" s="444" t="e">
        <f>IF(G92&lt;AQ2,AO2,"NA")</f>
        <v>#DIV/0!</v>
      </c>
      <c r="AP23" s="444" t="e">
        <f>IF(G92&lt;AS2,AP2,"NA")</f>
        <v>#DIV/0!</v>
      </c>
      <c r="AQ23" s="444"/>
      <c r="AR23" s="444"/>
      <c r="AS23" s="444"/>
      <c r="AT23" s="444"/>
      <c r="AU23" s="444"/>
      <c r="AV23" s="234"/>
      <c r="AW23" s="234"/>
      <c r="AX23" s="234"/>
      <c r="AY23" s="234"/>
      <c r="AZ23" s="234"/>
      <c r="BA23" s="234"/>
      <c r="BB23" s="234"/>
      <c r="BC23" s="234"/>
      <c r="BD23" s="234"/>
    </row>
    <row r="24" spans="2:56" x14ac:dyDescent="0.25">
      <c r="B24" s="9"/>
      <c r="C24" s="10"/>
      <c r="D24" s="10"/>
      <c r="E24" s="10"/>
      <c r="F24" s="10"/>
      <c r="G24" s="10"/>
      <c r="H24" s="10"/>
      <c r="I24" s="10"/>
      <c r="J24" s="10"/>
      <c r="K24" s="10"/>
      <c r="L24" s="10"/>
      <c r="M24" s="10"/>
      <c r="N24" s="10"/>
      <c r="O24" s="10"/>
      <c r="P24" s="10"/>
      <c r="Q24" s="10"/>
      <c r="R24" s="10"/>
      <c r="S24" s="15"/>
      <c r="T24" s="444"/>
      <c r="U24" s="456"/>
      <c r="V24" s="444" t="s">
        <v>342</v>
      </c>
      <c r="W24" s="444" t="e">
        <f>W5/W23</f>
        <v>#DIV/0!</v>
      </c>
      <c r="X24" s="444"/>
      <c r="Y24" s="444"/>
      <c r="Z24" s="444"/>
      <c r="AA24" s="444"/>
      <c r="AB24" s="444"/>
      <c r="AC24" s="444"/>
      <c r="AD24" s="444"/>
      <c r="AE24" s="444"/>
      <c r="AF24" s="444"/>
      <c r="AG24" s="444"/>
      <c r="AH24" s="444"/>
      <c r="AI24" s="444" t="e">
        <f>IF(AF23=1,AH23,AI23)</f>
        <v>#DIV/0!</v>
      </c>
      <c r="AJ24" s="444"/>
      <c r="AK24" s="444"/>
      <c r="AL24" s="444"/>
      <c r="AM24" s="444"/>
      <c r="AN24" s="444"/>
      <c r="AO24" s="444"/>
      <c r="AP24" s="444" t="e">
        <f>IF(AF23=1,AO23,AP23)</f>
        <v>#DIV/0!</v>
      </c>
      <c r="AQ24" s="444"/>
      <c r="AR24" s="444"/>
      <c r="AS24" s="444"/>
      <c r="AT24" s="444"/>
      <c r="AU24" s="444"/>
      <c r="AV24" s="234"/>
      <c r="AW24" s="234"/>
      <c r="AX24" s="234"/>
      <c r="AY24" s="234"/>
      <c r="AZ24" s="234"/>
      <c r="BA24" s="234"/>
      <c r="BB24" s="234"/>
      <c r="BC24" s="234"/>
      <c r="BD24" s="234"/>
    </row>
    <row r="25" spans="2:56" x14ac:dyDescent="0.25">
      <c r="B25" s="9"/>
      <c r="C25" s="10"/>
      <c r="D25" s="10"/>
      <c r="E25" s="10"/>
      <c r="F25" s="10"/>
      <c r="G25" s="10"/>
      <c r="H25" s="10"/>
      <c r="I25" s="10"/>
      <c r="J25" s="10"/>
      <c r="K25" s="10"/>
      <c r="L25" s="10"/>
      <c r="M25" s="10"/>
      <c r="N25" s="10"/>
      <c r="O25" s="10"/>
      <c r="P25" s="10"/>
      <c r="Q25" s="10"/>
      <c r="R25" s="10"/>
      <c r="S25" s="28"/>
      <c r="T25" s="444"/>
      <c r="U25" s="456"/>
      <c r="V25" s="444" t="s">
        <v>343</v>
      </c>
      <c r="W25" s="444" t="s">
        <v>74</v>
      </c>
      <c r="X25" s="444" t="s">
        <v>75</v>
      </c>
      <c r="Y25" s="444"/>
      <c r="Z25" s="444"/>
      <c r="AA25" s="444"/>
      <c r="AB25" s="444"/>
      <c r="AC25" s="444"/>
      <c r="AD25" s="444"/>
      <c r="AE25" s="444"/>
      <c r="AF25" s="444"/>
      <c r="AG25" s="444"/>
      <c r="AH25" s="444"/>
      <c r="AI25" s="444"/>
      <c r="AJ25" s="444"/>
      <c r="AK25" s="444"/>
      <c r="AL25" s="444"/>
      <c r="AM25" s="444"/>
      <c r="AN25" s="444"/>
      <c r="AO25" s="444"/>
      <c r="AP25" s="444"/>
      <c r="AQ25" s="444"/>
      <c r="AR25" s="444"/>
      <c r="AS25" s="444"/>
      <c r="AT25" s="444"/>
      <c r="AU25" s="444"/>
      <c r="AV25" s="234"/>
      <c r="AW25" s="234"/>
      <c r="AX25" s="234"/>
      <c r="AY25" s="234"/>
      <c r="AZ25" s="234"/>
      <c r="BA25" s="234"/>
      <c r="BB25" s="234"/>
      <c r="BC25" s="234"/>
      <c r="BD25" s="234"/>
    </row>
    <row r="26" spans="2:56" x14ac:dyDescent="0.25">
      <c r="B26" s="9"/>
      <c r="C26" s="10"/>
      <c r="D26" s="10"/>
      <c r="E26" s="10"/>
      <c r="F26" s="10"/>
      <c r="G26" s="10"/>
      <c r="H26" s="10"/>
      <c r="I26" s="10"/>
      <c r="J26" s="10"/>
      <c r="K26" s="10"/>
      <c r="L26" s="10"/>
      <c r="M26" s="10"/>
      <c r="N26" s="10"/>
      <c r="O26" s="10"/>
      <c r="P26" s="10"/>
      <c r="Q26" s="10"/>
      <c r="R26" s="10"/>
      <c r="S26" s="28"/>
      <c r="T26" s="444"/>
      <c r="U26" s="456"/>
      <c r="V26" s="444" t="s">
        <v>344</v>
      </c>
      <c r="W26" s="444">
        <f>(W16*(W5-W10)+Y16*(W5-W11)+AA13*W5)/2</f>
        <v>0</v>
      </c>
      <c r="X26" s="444">
        <f>IF(U47=G49,((W3+W4)*W5*W1/2+30*W5)*SIN(Z1),0)</f>
        <v>0</v>
      </c>
      <c r="Y26" s="444"/>
      <c r="Z26" s="444"/>
      <c r="AA26" s="444"/>
      <c r="AB26" s="444"/>
      <c r="AC26" s="444"/>
      <c r="AD26" s="444"/>
      <c r="AE26" s="444"/>
      <c r="AF26" s="444"/>
      <c r="AG26" s="444"/>
      <c r="AH26" s="444"/>
      <c r="AI26" s="444"/>
      <c r="AJ26" s="444"/>
      <c r="AK26" s="444"/>
      <c r="AL26" s="444"/>
      <c r="AM26" s="444"/>
      <c r="AN26" s="444"/>
      <c r="AO26" s="444"/>
      <c r="AP26" s="444"/>
      <c r="AQ26" s="444"/>
      <c r="AR26" s="444"/>
      <c r="AS26" s="444"/>
      <c r="AT26" s="444"/>
      <c r="AU26" s="444"/>
      <c r="AV26" s="234"/>
      <c r="AW26" s="234"/>
      <c r="AX26" s="234"/>
      <c r="AY26" s="234"/>
      <c r="AZ26" s="234"/>
      <c r="BA26" s="234"/>
      <c r="BB26" s="234"/>
      <c r="BC26" s="234"/>
      <c r="BD26" s="234"/>
    </row>
    <row r="27" spans="2:56" x14ac:dyDescent="0.25">
      <c r="B27" s="9"/>
      <c r="C27" s="10"/>
      <c r="D27" s="10"/>
      <c r="E27" s="10"/>
      <c r="F27" s="10"/>
      <c r="G27" s="10"/>
      <c r="H27" s="10"/>
      <c r="I27" s="10"/>
      <c r="J27" s="10"/>
      <c r="K27" s="10"/>
      <c r="L27" s="10"/>
      <c r="M27" s="10"/>
      <c r="N27" s="10"/>
      <c r="O27" s="10"/>
      <c r="P27" s="10"/>
      <c r="Q27" s="10"/>
      <c r="R27" s="10"/>
      <c r="S27" s="15"/>
      <c r="T27" s="444"/>
      <c r="U27" s="456"/>
      <c r="V27" s="444" t="s">
        <v>345</v>
      </c>
      <c r="W27" s="444">
        <f>W26</f>
        <v>0</v>
      </c>
      <c r="X27" s="444">
        <f>IF(U48=G49,((W3+W4)*W5*W1/2+30*W5)*SIN(Z1),0)</f>
        <v>0</v>
      </c>
      <c r="Y27" s="444"/>
      <c r="Z27" s="444"/>
      <c r="AA27" s="444"/>
      <c r="AB27" s="444"/>
      <c r="AC27" s="444"/>
      <c r="AD27" s="444"/>
      <c r="AE27" s="444"/>
      <c r="AF27" s="444"/>
      <c r="AG27" s="444"/>
      <c r="AH27" s="444" t="e">
        <f>IF(AF6=1,AI24,AP24)</f>
        <v>#DIV/0!</v>
      </c>
      <c r="AI27" s="444"/>
      <c r="AJ27" s="444"/>
      <c r="AK27" s="444"/>
      <c r="AL27" s="444"/>
      <c r="AM27" s="444"/>
      <c r="AN27" s="444"/>
      <c r="AO27" s="444"/>
      <c r="AP27" s="444"/>
      <c r="AQ27" s="444"/>
      <c r="AR27" s="444"/>
      <c r="AS27" s="444"/>
      <c r="AT27" s="444"/>
      <c r="AU27" s="444"/>
      <c r="AV27" s="234"/>
      <c r="AW27" s="234"/>
      <c r="AX27" s="234"/>
      <c r="AY27" s="234"/>
      <c r="AZ27" s="234"/>
      <c r="BA27" s="234"/>
      <c r="BB27" s="234"/>
      <c r="BC27" s="234"/>
      <c r="BD27" s="234"/>
    </row>
    <row r="28" spans="2:56" x14ac:dyDescent="0.25">
      <c r="B28" s="9"/>
      <c r="C28" s="10"/>
      <c r="D28" s="10"/>
      <c r="E28" s="10"/>
      <c r="F28" s="10"/>
      <c r="G28" s="10"/>
      <c r="H28" s="10"/>
      <c r="I28" s="10"/>
      <c r="J28" s="10"/>
      <c r="K28" s="10"/>
      <c r="L28" s="10"/>
      <c r="M28" s="10"/>
      <c r="N28" s="10"/>
      <c r="O28" s="10"/>
      <c r="P28" s="10"/>
      <c r="Q28" s="10"/>
      <c r="R28" s="10"/>
      <c r="S28" s="15"/>
      <c r="T28" s="444"/>
      <c r="U28" s="456"/>
      <c r="V28" s="444"/>
      <c r="W28" s="444"/>
      <c r="X28" s="444"/>
      <c r="Y28" s="444"/>
      <c r="Z28" s="444"/>
      <c r="AA28" s="444"/>
      <c r="AB28" s="444"/>
      <c r="AC28" s="444"/>
      <c r="AD28" s="444"/>
      <c r="AE28" s="444"/>
      <c r="AF28" s="444"/>
      <c r="AG28" s="444"/>
      <c r="AH28" s="444"/>
      <c r="AI28" s="444"/>
      <c r="AJ28" s="444"/>
      <c r="AK28" s="444"/>
      <c r="AL28" s="444"/>
      <c r="AM28" s="444"/>
      <c r="AN28" s="444"/>
      <c r="AO28" s="444"/>
      <c r="AP28" s="444"/>
      <c r="AQ28" s="444"/>
      <c r="AR28" s="444"/>
      <c r="AS28" s="444"/>
      <c r="AT28" s="444"/>
      <c r="AU28" s="444"/>
      <c r="AV28" s="234"/>
      <c r="AW28" s="234"/>
      <c r="AX28" s="234"/>
      <c r="AY28" s="234"/>
      <c r="AZ28" s="234"/>
      <c r="BA28" s="234"/>
      <c r="BB28" s="234"/>
      <c r="BC28" s="234"/>
      <c r="BD28" s="234"/>
    </row>
    <row r="29" spans="2:56" x14ac:dyDescent="0.25">
      <c r="B29" s="9"/>
      <c r="C29" s="10"/>
      <c r="D29" s="10"/>
      <c r="E29" s="10"/>
      <c r="F29" s="10"/>
      <c r="G29" s="10"/>
      <c r="H29" s="10"/>
      <c r="I29" s="10"/>
      <c r="J29" s="10"/>
      <c r="K29" s="10"/>
      <c r="L29" s="10"/>
      <c r="M29" s="10"/>
      <c r="N29" s="10"/>
      <c r="O29" s="10"/>
      <c r="P29" s="10"/>
      <c r="Q29" s="10"/>
      <c r="R29" s="10"/>
      <c r="S29" s="28"/>
      <c r="T29" s="444"/>
      <c r="U29" s="456"/>
      <c r="V29" s="444"/>
      <c r="W29" s="444"/>
      <c r="X29" s="444"/>
      <c r="Y29" s="444"/>
      <c r="Z29" s="444"/>
      <c r="AA29" s="444"/>
      <c r="AB29" s="444"/>
      <c r="AC29" s="444"/>
      <c r="AD29" s="444"/>
      <c r="AE29" s="444"/>
      <c r="AF29" s="444"/>
      <c r="AG29" s="444"/>
      <c r="AH29" s="444"/>
      <c r="AI29" s="444"/>
      <c r="AJ29" s="444"/>
      <c r="AK29" s="444"/>
      <c r="AL29" s="444"/>
      <c r="AM29" s="444"/>
      <c r="AN29" s="444"/>
      <c r="AO29" s="444"/>
      <c r="AP29" s="444"/>
      <c r="AQ29" s="444"/>
      <c r="AR29" s="444"/>
      <c r="AS29" s="444"/>
      <c r="AT29" s="444"/>
      <c r="AU29" s="444"/>
      <c r="AV29" s="234"/>
      <c r="AW29" s="234"/>
      <c r="AX29" s="234"/>
      <c r="AY29" s="234"/>
      <c r="AZ29" s="234"/>
      <c r="BA29" s="234"/>
      <c r="BB29" s="234"/>
      <c r="BC29" s="234"/>
      <c r="BD29" s="234"/>
    </row>
    <row r="30" spans="2:56" x14ac:dyDescent="0.25">
      <c r="B30" s="9"/>
      <c r="C30" s="10"/>
      <c r="D30" s="10"/>
      <c r="E30" s="10"/>
      <c r="F30" s="10"/>
      <c r="G30" s="10"/>
      <c r="H30" s="10"/>
      <c r="I30" s="10"/>
      <c r="J30" s="10"/>
      <c r="K30" s="10"/>
      <c r="L30" s="10"/>
      <c r="M30" s="10"/>
      <c r="N30" s="10"/>
      <c r="O30" s="10"/>
      <c r="P30" s="10"/>
      <c r="Q30" s="10"/>
      <c r="R30" s="10"/>
      <c r="S30" s="28"/>
      <c r="T30" s="444"/>
      <c r="U30" s="456"/>
      <c r="V30" s="444"/>
      <c r="W30" s="444"/>
      <c r="X30" s="444"/>
      <c r="Y30" s="444"/>
      <c r="Z30" s="444"/>
      <c r="AA30" s="444"/>
      <c r="AB30" s="444"/>
      <c r="AC30" s="444"/>
      <c r="AD30" s="444"/>
      <c r="AE30" s="444"/>
      <c r="AF30" s="444"/>
      <c r="AG30" s="444"/>
      <c r="AH30" s="444"/>
      <c r="AI30" s="444"/>
      <c r="AJ30" s="444"/>
      <c r="AK30" s="444"/>
      <c r="AL30" s="444"/>
      <c r="AM30" s="444"/>
      <c r="AN30" s="444"/>
      <c r="AO30" s="444"/>
      <c r="AP30" s="444"/>
      <c r="AQ30" s="444"/>
      <c r="AR30" s="444"/>
      <c r="AS30" s="444"/>
      <c r="AT30" s="444"/>
      <c r="AU30" s="444"/>
      <c r="AV30" s="234"/>
      <c r="AW30" s="234"/>
      <c r="AX30" s="234"/>
      <c r="AY30" s="234"/>
      <c r="AZ30" s="234"/>
      <c r="BA30" s="234"/>
      <c r="BB30" s="234"/>
      <c r="BC30" s="234"/>
      <c r="BD30" s="234"/>
    </row>
    <row r="31" spans="2:56" x14ac:dyDescent="0.25">
      <c r="B31" s="9"/>
      <c r="C31" s="10"/>
      <c r="D31" s="10"/>
      <c r="E31" s="10"/>
      <c r="F31" s="10"/>
      <c r="G31" s="10"/>
      <c r="H31" s="10"/>
      <c r="I31" s="10"/>
      <c r="J31" s="10"/>
      <c r="L31" s="6"/>
      <c r="M31" s="6"/>
      <c r="N31" s="6"/>
      <c r="O31" s="6"/>
      <c r="P31" s="6"/>
      <c r="Q31" s="6"/>
      <c r="R31" s="6"/>
      <c r="S31" s="28"/>
      <c r="T31" s="444"/>
      <c r="U31" s="456"/>
      <c r="V31" s="444"/>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234"/>
      <c r="AW31" s="234"/>
      <c r="AX31" s="234"/>
      <c r="AY31" s="234"/>
      <c r="AZ31" s="234"/>
      <c r="BA31" s="234"/>
      <c r="BB31" s="234"/>
      <c r="BC31" s="234"/>
      <c r="BD31" s="234"/>
    </row>
    <row r="32" spans="2:56" x14ac:dyDescent="0.25">
      <c r="B32" s="9"/>
      <c r="C32" s="10"/>
      <c r="D32" s="10"/>
      <c r="E32" s="10"/>
      <c r="F32" s="10"/>
      <c r="G32" s="10"/>
      <c r="H32" s="10"/>
      <c r="I32" s="10"/>
      <c r="J32" s="10"/>
      <c r="K32" s="10"/>
      <c r="L32" s="6"/>
      <c r="M32" s="6"/>
      <c r="N32" s="6"/>
      <c r="O32" s="6"/>
      <c r="P32" s="6"/>
      <c r="Q32" s="6"/>
      <c r="R32" s="6"/>
      <c r="S32" s="28"/>
      <c r="T32" s="444"/>
      <c r="U32" s="456"/>
      <c r="V32" s="444"/>
      <c r="W32" s="444"/>
      <c r="X32" s="444"/>
      <c r="Y32" s="444"/>
      <c r="Z32" s="444"/>
      <c r="AA32" s="444"/>
      <c r="AB32" s="444"/>
      <c r="AC32" s="444"/>
      <c r="AD32" s="444"/>
      <c r="AE32" s="444"/>
      <c r="AF32" s="444"/>
      <c r="AG32" s="444"/>
      <c r="AH32" s="444"/>
      <c r="AI32" s="444"/>
      <c r="AJ32" s="444"/>
      <c r="AK32" s="444"/>
      <c r="AL32" s="444"/>
      <c r="AM32" s="444"/>
      <c r="AN32" s="444"/>
      <c r="AO32" s="444"/>
      <c r="AP32" s="444"/>
      <c r="AQ32" s="444"/>
      <c r="AR32" s="444"/>
      <c r="AS32" s="444"/>
      <c r="AT32" s="444"/>
      <c r="AU32" s="444"/>
      <c r="AV32" s="234"/>
      <c r="AW32" s="234"/>
      <c r="AX32" s="234"/>
      <c r="AY32" s="234"/>
      <c r="AZ32" s="234"/>
      <c r="BA32" s="234"/>
      <c r="BB32" s="234"/>
      <c r="BC32" s="234"/>
      <c r="BD32" s="234"/>
    </row>
    <row r="33" spans="2:47" x14ac:dyDescent="0.25">
      <c r="B33" s="5"/>
      <c r="C33" s="10"/>
      <c r="D33" s="10"/>
      <c r="E33" s="10"/>
      <c r="F33" s="10"/>
      <c r="G33" s="10"/>
      <c r="H33" s="10"/>
      <c r="I33" s="10"/>
      <c r="J33" s="10"/>
      <c r="K33" s="6"/>
      <c r="L33" s="6"/>
      <c r="M33" s="6"/>
      <c r="N33" s="235"/>
      <c r="O33" s="6"/>
      <c r="P33" s="6"/>
      <c r="Q33" s="6"/>
      <c r="R33" s="6"/>
      <c r="S33" s="28"/>
      <c r="T33" s="444"/>
      <c r="U33" s="444"/>
      <c r="V33" s="444"/>
      <c r="W33" s="444"/>
      <c r="X33" s="444"/>
      <c r="Y33" s="444"/>
      <c r="Z33" s="444"/>
      <c r="AA33" s="444"/>
      <c r="AB33" s="444"/>
      <c r="AC33" s="444"/>
      <c r="AD33" s="444"/>
      <c r="AE33" s="444"/>
      <c r="AF33" s="444"/>
      <c r="AG33" s="444"/>
      <c r="AH33" s="444"/>
      <c r="AI33" s="444"/>
      <c r="AJ33" s="444"/>
      <c r="AK33" s="444"/>
      <c r="AL33" s="444"/>
      <c r="AM33" s="444"/>
      <c r="AN33" s="444"/>
      <c r="AO33" s="444"/>
      <c r="AP33" s="444"/>
      <c r="AQ33" s="444"/>
      <c r="AR33" s="444"/>
      <c r="AS33" s="444"/>
      <c r="AT33" s="444"/>
      <c r="AU33" s="444"/>
    </row>
    <row r="34" spans="2:47" x14ac:dyDescent="0.25">
      <c r="B34" s="5"/>
      <c r="C34" s="10"/>
      <c r="D34" s="10"/>
      <c r="E34" s="10"/>
      <c r="F34" s="10"/>
      <c r="G34" s="10"/>
      <c r="H34" s="10"/>
      <c r="I34" s="10"/>
      <c r="J34" s="10"/>
      <c r="K34" s="6"/>
      <c r="L34" s="236" t="str">
        <f>IF(O41&lt;10,"Metal Technology do not recommend roof pitches less than 10 degrees.",IF(O41&gt;100,"Metal Technology do not recommend curtain walling screens installed",""))</f>
        <v/>
      </c>
      <c r="M34" s="6"/>
      <c r="N34" s="6"/>
      <c r="O34" s="6"/>
      <c r="P34" s="6"/>
      <c r="Q34" s="6"/>
      <c r="R34" s="6"/>
      <c r="S34" s="28"/>
      <c r="T34" s="444"/>
      <c r="U34" s="444" t="s">
        <v>264</v>
      </c>
      <c r="V34" s="444"/>
      <c r="W34" s="444"/>
      <c r="X34" s="444"/>
      <c r="Y34" s="444"/>
      <c r="Z34" s="444"/>
      <c r="AA34" s="444"/>
      <c r="AB34" s="444"/>
      <c r="AC34" s="444"/>
      <c r="AD34" s="444"/>
      <c r="AE34" s="444"/>
      <c r="AF34" s="444"/>
      <c r="AG34" s="444"/>
      <c r="AH34" s="444"/>
      <c r="AI34" s="444"/>
      <c r="AJ34" s="444"/>
      <c r="AK34" s="444"/>
      <c r="AL34" s="444"/>
      <c r="AM34" s="444"/>
      <c r="AN34" s="444"/>
      <c r="AO34" s="444"/>
      <c r="AP34" s="444"/>
      <c r="AQ34" s="444"/>
      <c r="AR34" s="444"/>
      <c r="AS34" s="444"/>
      <c r="AT34" s="444"/>
      <c r="AU34" s="444"/>
    </row>
    <row r="35" spans="2:47" x14ac:dyDescent="0.25">
      <c r="B35" s="5"/>
      <c r="C35" s="10"/>
      <c r="D35" s="10"/>
      <c r="E35" s="10"/>
      <c r="F35" s="10"/>
      <c r="G35" s="10"/>
      <c r="H35" s="10"/>
      <c r="I35" s="10"/>
      <c r="J35" s="10"/>
      <c r="K35" s="6"/>
      <c r="L35" s="236" t="str">
        <f>IF(O41&gt;100,"at an angle greater than 100 degrees.","")</f>
        <v/>
      </c>
      <c r="M35" s="6"/>
      <c r="N35" s="6"/>
      <c r="O35" s="6"/>
      <c r="P35" s="6"/>
      <c r="Q35" s="6"/>
      <c r="R35" s="6"/>
      <c r="S35" s="28"/>
      <c r="T35" s="444"/>
      <c r="U35" s="444" t="s">
        <v>228</v>
      </c>
      <c r="V35" s="444"/>
      <c r="W35" s="444"/>
      <c r="X35" s="444"/>
      <c r="Y35" s="444"/>
      <c r="Z35" s="444"/>
      <c r="AA35" s="444"/>
      <c r="AB35" s="444"/>
      <c r="AC35" s="444"/>
      <c r="AD35" s="444"/>
      <c r="AE35" s="444"/>
      <c r="AF35" s="444"/>
      <c r="AG35" s="444"/>
      <c r="AH35" s="444"/>
      <c r="AI35" s="444"/>
      <c r="AJ35" s="444"/>
      <c r="AK35" s="444"/>
      <c r="AL35" s="444"/>
      <c r="AM35" s="444"/>
      <c r="AN35" s="444"/>
      <c r="AO35" s="444"/>
      <c r="AP35" s="444"/>
      <c r="AQ35" s="444"/>
      <c r="AR35" s="444"/>
      <c r="AS35" s="444"/>
      <c r="AT35" s="444"/>
      <c r="AU35" s="444"/>
    </row>
    <row r="36" spans="2:47" x14ac:dyDescent="0.25">
      <c r="B36" s="5"/>
      <c r="C36" s="10"/>
      <c r="D36" s="10"/>
      <c r="E36" s="10"/>
      <c r="F36" s="10"/>
      <c r="G36" s="10"/>
      <c r="H36" s="10"/>
      <c r="I36" s="10"/>
      <c r="J36" s="10"/>
      <c r="K36" s="6"/>
      <c r="L36" s="236" t="str">
        <f>IF(O41&lt;10,"Please refer to Metal Technology’s technical department for further guidance.",IF(O41&gt;100,"Please refer to Metal Technology’s technical department for further guidance.",""))</f>
        <v/>
      </c>
      <c r="M36" s="6"/>
      <c r="N36" s="6"/>
      <c r="O36" s="6"/>
      <c r="P36" s="6"/>
      <c r="Q36" s="6"/>
      <c r="R36" s="6"/>
      <c r="S36" s="28"/>
      <c r="T36" s="444"/>
      <c r="U36" s="444"/>
      <c r="V36" s="444"/>
      <c r="W36" s="444"/>
      <c r="X36" s="444"/>
      <c r="Y36" s="444"/>
      <c r="Z36" s="444"/>
      <c r="AA36" s="444"/>
      <c r="AB36" s="444"/>
      <c r="AC36" s="444"/>
      <c r="AD36" s="444"/>
      <c r="AE36" s="444"/>
      <c r="AF36" s="444"/>
      <c r="AG36" s="444"/>
      <c r="AH36" s="444"/>
      <c r="AI36" s="444"/>
      <c r="AJ36" s="444"/>
      <c r="AK36" s="444"/>
      <c r="AL36" s="444"/>
      <c r="AM36" s="444"/>
      <c r="AN36" s="444"/>
      <c r="AO36" s="444"/>
      <c r="AP36" s="444"/>
      <c r="AQ36" s="444"/>
      <c r="AR36" s="444"/>
      <c r="AS36" s="444"/>
      <c r="AT36" s="444"/>
      <c r="AU36" s="444"/>
    </row>
    <row r="37" spans="2:47" x14ac:dyDescent="0.25">
      <c r="B37" s="5"/>
      <c r="C37" s="10"/>
      <c r="D37" s="395"/>
      <c r="E37" s="395"/>
      <c r="F37" s="10"/>
      <c r="G37" s="10"/>
      <c r="H37" s="10"/>
      <c r="I37" s="10"/>
      <c r="J37" s="10"/>
      <c r="K37" s="10"/>
      <c r="L37" s="10"/>
      <c r="M37" s="35"/>
      <c r="N37" s="394"/>
      <c r="O37" s="10"/>
      <c r="P37" s="394"/>
      <c r="Q37" s="10"/>
      <c r="R37" s="34"/>
      <c r="S37" s="37"/>
      <c r="T37" s="444"/>
      <c r="U37" s="444"/>
      <c r="V37" s="444"/>
      <c r="W37" s="444"/>
      <c r="X37" s="444"/>
      <c r="Y37" s="444"/>
      <c r="Z37" s="444"/>
      <c r="AA37" s="444"/>
      <c r="AB37" s="444"/>
      <c r="AC37" s="444"/>
      <c r="AD37" s="444"/>
      <c r="AE37" s="444"/>
      <c r="AF37" s="444"/>
      <c r="AG37" s="444"/>
      <c r="AH37" s="444"/>
      <c r="AI37" s="444"/>
      <c r="AJ37" s="444"/>
      <c r="AK37" s="444"/>
      <c r="AL37" s="444"/>
      <c r="AM37" s="444"/>
      <c r="AN37" s="444"/>
      <c r="AO37" s="444"/>
      <c r="AP37" s="444"/>
      <c r="AQ37" s="444"/>
      <c r="AR37" s="444"/>
      <c r="AS37" s="444"/>
      <c r="AT37" s="444"/>
      <c r="AU37" s="444"/>
    </row>
    <row r="38" spans="2:47" x14ac:dyDescent="0.25">
      <c r="B38" s="5"/>
      <c r="C38" s="10"/>
      <c r="D38" s="10"/>
      <c r="E38" s="10"/>
      <c r="F38" s="10"/>
      <c r="G38" s="10"/>
      <c r="H38" s="10"/>
      <c r="I38" s="10"/>
      <c r="J38" s="6"/>
      <c r="K38" s="274" t="s">
        <v>221</v>
      </c>
      <c r="L38" s="274"/>
      <c r="M38" s="274"/>
      <c r="N38" s="274"/>
      <c r="O38" s="10"/>
      <c r="P38" s="394"/>
      <c r="Q38" s="10"/>
      <c r="R38" s="34"/>
      <c r="S38" s="37"/>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row>
    <row r="39" spans="2:47" x14ac:dyDescent="0.25">
      <c r="B39" s="5"/>
      <c r="C39" s="33"/>
      <c r="D39" s="401" t="s">
        <v>222</v>
      </c>
      <c r="E39" s="394"/>
      <c r="F39" s="396"/>
      <c r="G39" s="41"/>
      <c r="H39" s="401" t="s">
        <v>61</v>
      </c>
      <c r="I39" s="275"/>
      <c r="J39" s="6"/>
      <c r="K39" s="573" t="s">
        <v>246</v>
      </c>
      <c r="L39" s="574"/>
      <c r="M39" s="574"/>
      <c r="N39" s="575"/>
      <c r="O39" s="236" t="str">
        <f>IF(O41&gt;60,"","Snow Load of 0.75kN/m2 applies.")</f>
        <v/>
      </c>
      <c r="P39" s="43"/>
      <c r="Q39" s="6"/>
      <c r="R39" s="34"/>
      <c r="S39" s="37"/>
      <c r="T39" s="444"/>
      <c r="U39" s="444"/>
      <c r="V39" s="444"/>
      <c r="W39" s="444"/>
      <c r="X39" s="444"/>
      <c r="Y39" s="444"/>
      <c r="Z39" s="444"/>
      <c r="AA39" s="444"/>
      <c r="AB39" s="444"/>
      <c r="AC39" s="444"/>
      <c r="AD39" s="444"/>
      <c r="AE39" s="444"/>
      <c r="AF39" s="444"/>
      <c r="AG39" s="444"/>
      <c r="AH39" s="444"/>
      <c r="AI39" s="444"/>
      <c r="AJ39" s="444"/>
      <c r="AK39" s="444"/>
      <c r="AL39" s="444"/>
      <c r="AM39" s="444"/>
      <c r="AN39" s="444"/>
      <c r="AO39" s="444"/>
      <c r="AP39" s="444"/>
      <c r="AQ39" s="444"/>
      <c r="AR39" s="444"/>
      <c r="AS39" s="444"/>
      <c r="AT39" s="444"/>
      <c r="AU39" s="444"/>
    </row>
    <row r="40" spans="2:47" x14ac:dyDescent="0.25">
      <c r="B40" s="5"/>
      <c r="C40" s="33"/>
      <c r="D40" s="33"/>
      <c r="E40" s="31"/>
      <c r="F40" s="31"/>
      <c r="G40" s="395"/>
      <c r="H40" s="395"/>
      <c r="I40" s="275"/>
      <c r="J40" s="6"/>
      <c r="K40" s="6"/>
      <c r="L40" s="6"/>
      <c r="M40" s="6"/>
      <c r="N40" s="6"/>
      <c r="O40" s="6"/>
      <c r="P40" s="6"/>
      <c r="Q40" s="6"/>
      <c r="R40" s="6"/>
      <c r="S40" s="28"/>
      <c r="T40" s="444"/>
      <c r="U40" s="444"/>
      <c r="V40" s="444"/>
      <c r="W40" s="444"/>
      <c r="X40" s="444"/>
      <c r="Y40" s="444"/>
      <c r="Z40" s="444"/>
      <c r="AA40" s="444"/>
      <c r="AB40" s="444"/>
      <c r="AC40" s="444"/>
      <c r="AD40" s="444"/>
      <c r="AE40" s="444"/>
      <c r="AF40" s="444"/>
      <c r="AG40" s="444"/>
      <c r="AH40" s="444"/>
      <c r="AI40" s="444"/>
      <c r="AJ40" s="444"/>
      <c r="AK40" s="444"/>
      <c r="AL40" s="444"/>
      <c r="AM40" s="444"/>
      <c r="AN40" s="444"/>
      <c r="AO40" s="444"/>
      <c r="AP40" s="444"/>
      <c r="AQ40" s="444"/>
      <c r="AR40" s="444"/>
      <c r="AS40" s="444"/>
      <c r="AT40" s="444"/>
      <c r="AU40" s="444"/>
    </row>
    <row r="41" spans="2:47" x14ac:dyDescent="0.25">
      <c r="B41" s="42"/>
      <c r="C41" s="33"/>
      <c r="D41" s="404" t="s">
        <v>62</v>
      </c>
      <c r="E41" s="394"/>
      <c r="F41" s="396"/>
      <c r="G41" s="533" t="s">
        <v>79</v>
      </c>
      <c r="H41" s="534"/>
      <c r="I41" s="535"/>
      <c r="J41" s="6"/>
      <c r="K41" s="276"/>
      <c r="L41" s="6"/>
      <c r="M41" s="6"/>
      <c r="N41" s="6" t="s">
        <v>224</v>
      </c>
      <c r="O41" s="276">
        <v>90</v>
      </c>
      <c r="P41" s="275" t="s">
        <v>225</v>
      </c>
      <c r="Q41" s="46"/>
      <c r="R41" s="46"/>
      <c r="S41" s="15"/>
      <c r="T41" s="444"/>
      <c r="U41" s="444"/>
      <c r="V41" s="444"/>
      <c r="W41" s="444"/>
      <c r="X41" s="444"/>
      <c r="Y41" s="444"/>
      <c r="Z41" s="444"/>
      <c r="AA41" s="444"/>
      <c r="AB41" s="444"/>
      <c r="AC41" s="444"/>
      <c r="AD41" s="444"/>
      <c r="AE41" s="444"/>
      <c r="AF41" s="444"/>
      <c r="AG41" s="444"/>
      <c r="AH41" s="444"/>
      <c r="AI41" s="444"/>
      <c r="AJ41" s="444"/>
      <c r="AK41" s="444"/>
      <c r="AL41" s="444"/>
      <c r="AM41" s="444"/>
      <c r="AN41" s="444"/>
      <c r="AO41" s="444"/>
      <c r="AP41" s="444"/>
      <c r="AQ41" s="444"/>
      <c r="AR41" s="444"/>
      <c r="AS41" s="444"/>
      <c r="AT41" s="444"/>
      <c r="AU41" s="444"/>
    </row>
    <row r="42" spans="2:47" x14ac:dyDescent="0.25">
      <c r="B42" s="42"/>
      <c r="C42" s="33"/>
      <c r="D42" s="33"/>
      <c r="E42" s="31"/>
      <c r="F42" s="31"/>
      <c r="G42" s="395"/>
      <c r="H42" s="401"/>
      <c r="I42" s="275"/>
      <c r="J42" s="6"/>
      <c r="K42" s="6"/>
      <c r="L42" s="6"/>
      <c r="M42" s="6"/>
      <c r="N42" s="6"/>
      <c r="O42" s="6"/>
      <c r="P42" s="46"/>
      <c r="Q42" s="46"/>
      <c r="R42" s="16"/>
      <c r="S42" s="15"/>
      <c r="T42" s="444"/>
      <c r="U42" s="444"/>
      <c r="V42" s="444"/>
      <c r="W42" s="444"/>
      <c r="X42" s="444"/>
      <c r="Y42" s="444"/>
      <c r="Z42" s="444"/>
      <c r="AA42" s="444"/>
      <c r="AB42" s="444"/>
      <c r="AC42" s="444"/>
      <c r="AD42" s="444"/>
      <c r="AE42" s="444"/>
      <c r="AF42" s="444"/>
      <c r="AG42" s="444"/>
      <c r="AH42" s="444"/>
      <c r="AI42" s="444"/>
      <c r="AJ42" s="444"/>
      <c r="AK42" s="444"/>
      <c r="AL42" s="444"/>
      <c r="AM42" s="444"/>
      <c r="AN42" s="444"/>
      <c r="AO42" s="444"/>
      <c r="AP42" s="444"/>
      <c r="AQ42" s="444"/>
      <c r="AR42" s="444"/>
      <c r="AS42" s="444"/>
      <c r="AT42" s="444"/>
      <c r="AU42" s="444"/>
    </row>
    <row r="43" spans="2:47" x14ac:dyDescent="0.25">
      <c r="B43" s="9"/>
      <c r="C43" s="33"/>
      <c r="D43" s="401" t="s">
        <v>64</v>
      </c>
      <c r="E43" s="394"/>
      <c r="F43" s="396"/>
      <c r="G43" s="41"/>
      <c r="H43" s="401" t="s">
        <v>65</v>
      </c>
      <c r="I43" s="275"/>
      <c r="J43" s="6"/>
      <c r="K43" s="400" t="s">
        <v>66</v>
      </c>
      <c r="L43" s="400"/>
      <c r="M43" s="400"/>
      <c r="P43" s="6"/>
      <c r="Q43" s="277">
        <f>IF(G41=U44,K41,ABS('BS6399-2 Standard Method'!L56))</f>
        <v>0</v>
      </c>
      <c r="R43" s="31" t="s">
        <v>67</v>
      </c>
      <c r="S43" s="15"/>
      <c r="T43" s="444"/>
      <c r="U43" s="444"/>
      <c r="V43" s="444"/>
      <c r="W43" s="444"/>
      <c r="X43" s="444"/>
      <c r="Y43" s="444"/>
      <c r="Z43" s="444"/>
      <c r="AA43" s="444"/>
      <c r="AB43" s="444"/>
      <c r="AC43" s="444"/>
      <c r="AD43" s="444"/>
      <c r="AE43" s="444"/>
      <c r="AF43" s="444"/>
      <c r="AG43" s="444"/>
      <c r="AH43" s="444"/>
      <c r="AI43" s="444"/>
      <c r="AJ43" s="444"/>
      <c r="AK43" s="444"/>
      <c r="AL43" s="444"/>
      <c r="AM43" s="444"/>
      <c r="AN43" s="444"/>
      <c r="AO43" s="444"/>
      <c r="AP43" s="444"/>
      <c r="AQ43" s="444"/>
      <c r="AR43" s="444"/>
      <c r="AS43" s="444"/>
      <c r="AT43" s="444"/>
      <c r="AU43" s="444"/>
    </row>
    <row r="44" spans="2:47" x14ac:dyDescent="0.25">
      <c r="B44" s="9"/>
      <c r="C44" s="33"/>
      <c r="D44" s="33"/>
      <c r="E44" s="31"/>
      <c r="F44" s="31"/>
      <c r="G44" s="395"/>
      <c r="H44" s="401"/>
      <c r="I44" s="275"/>
      <c r="J44" s="6"/>
      <c r="K44" s="6"/>
      <c r="L44" s="6"/>
      <c r="M44" s="6"/>
      <c r="N44" s="6"/>
      <c r="O44" s="6"/>
      <c r="P44" s="6"/>
      <c r="Q44" s="6"/>
      <c r="R44" s="10"/>
      <c r="S44" s="15"/>
      <c r="T44" s="444"/>
      <c r="U44" s="444" t="s">
        <v>79</v>
      </c>
      <c r="V44" s="444"/>
      <c r="W44" s="444"/>
      <c r="X44" s="444"/>
      <c r="Y44" s="444"/>
      <c r="Z44" s="444"/>
      <c r="AA44" s="444"/>
      <c r="AB44" s="444"/>
      <c r="AC44" s="444"/>
      <c r="AD44" s="444"/>
      <c r="AE44" s="444"/>
      <c r="AF44" s="444"/>
      <c r="AG44" s="444"/>
      <c r="AH44" s="444"/>
      <c r="AI44" s="444"/>
      <c r="AJ44" s="444"/>
      <c r="AK44" s="444"/>
      <c r="AL44" s="444"/>
      <c r="AM44" s="444"/>
      <c r="AN44" s="444"/>
      <c r="AO44" s="444"/>
      <c r="AP44" s="444"/>
      <c r="AQ44" s="444"/>
      <c r="AR44" s="444"/>
      <c r="AS44" s="444"/>
      <c r="AT44" s="444"/>
      <c r="AU44" s="444"/>
    </row>
    <row r="45" spans="2:47" x14ac:dyDescent="0.25">
      <c r="B45" s="9"/>
      <c r="C45" s="33"/>
      <c r="D45" s="401" t="s">
        <v>68</v>
      </c>
      <c r="E45" s="394"/>
      <c r="F45" s="396"/>
      <c r="G45" s="41"/>
      <c r="H45" s="401" t="s">
        <v>65</v>
      </c>
      <c r="I45" s="275"/>
      <c r="J45" s="6"/>
      <c r="K45" s="274" t="s">
        <v>226</v>
      </c>
      <c r="L45" s="274"/>
      <c r="M45" s="274"/>
      <c r="N45" s="274"/>
      <c r="O45" s="6"/>
      <c r="P45" s="274" t="s">
        <v>227</v>
      </c>
      <c r="Q45" s="274"/>
      <c r="R45" s="274"/>
      <c r="S45" s="403"/>
      <c r="T45" s="444"/>
      <c r="U45" s="444" t="s">
        <v>211</v>
      </c>
      <c r="V45" s="444"/>
      <c r="W45" s="444"/>
      <c r="X45" s="444"/>
      <c r="Y45" s="444"/>
      <c r="Z45" s="444"/>
      <c r="AA45" s="444"/>
      <c r="AB45" s="444"/>
      <c r="AC45" s="444"/>
      <c r="AD45" s="444"/>
      <c r="AE45" s="444"/>
      <c r="AF45" s="444"/>
      <c r="AG45" s="444"/>
      <c r="AH45" s="444"/>
      <c r="AI45" s="444"/>
      <c r="AJ45" s="444"/>
      <c r="AK45" s="444"/>
      <c r="AL45" s="444"/>
      <c r="AM45" s="444"/>
      <c r="AN45" s="444"/>
      <c r="AO45" s="444"/>
      <c r="AP45" s="444"/>
      <c r="AQ45" s="444"/>
      <c r="AR45" s="444"/>
      <c r="AS45" s="444"/>
      <c r="AT45" s="444"/>
      <c r="AU45" s="444"/>
    </row>
    <row r="46" spans="2:47" x14ac:dyDescent="0.25">
      <c r="B46" s="9"/>
      <c r="C46" s="10"/>
      <c r="D46" s="33"/>
      <c r="E46" s="31"/>
      <c r="F46" s="31"/>
      <c r="G46" s="395"/>
      <c r="H46" s="401"/>
      <c r="I46" s="275"/>
      <c r="J46" s="6"/>
      <c r="K46" s="573" t="s">
        <v>244</v>
      </c>
      <c r="L46" s="574"/>
      <c r="M46" s="574"/>
      <c r="N46" s="575"/>
      <c r="O46" s="6"/>
      <c r="P46" s="533" t="s">
        <v>264</v>
      </c>
      <c r="Q46" s="534"/>
      <c r="R46" s="535"/>
      <c r="S46" s="278"/>
      <c r="T46" s="444"/>
      <c r="U46" s="444"/>
      <c r="V46" s="444"/>
      <c r="W46" s="444"/>
      <c r="X46" s="444"/>
      <c r="Y46" s="444"/>
      <c r="Z46" s="444"/>
      <c r="AA46" s="444"/>
      <c r="AB46" s="444"/>
      <c r="AC46" s="444"/>
      <c r="AD46" s="444"/>
      <c r="AE46" s="444"/>
      <c r="AF46" s="444"/>
      <c r="AG46" s="444"/>
      <c r="AH46" s="444"/>
      <c r="AI46" s="444"/>
      <c r="AJ46" s="444"/>
      <c r="AK46" s="444"/>
      <c r="AL46" s="444"/>
      <c r="AM46" s="444"/>
      <c r="AN46" s="444"/>
      <c r="AO46" s="444"/>
      <c r="AP46" s="444"/>
      <c r="AQ46" s="444"/>
      <c r="AR46" s="444"/>
      <c r="AS46" s="444"/>
      <c r="AT46" s="444"/>
      <c r="AU46" s="444"/>
    </row>
    <row r="47" spans="2:47" x14ac:dyDescent="0.25">
      <c r="B47" s="9"/>
      <c r="C47" s="10"/>
      <c r="D47" s="401" t="s">
        <v>70</v>
      </c>
      <c r="E47" s="394"/>
      <c r="F47" s="396"/>
      <c r="G47" s="41"/>
      <c r="H47" s="401" t="s">
        <v>65</v>
      </c>
      <c r="I47" s="275"/>
      <c r="J47" s="6"/>
      <c r="K47" s="6"/>
      <c r="L47" s="6"/>
      <c r="M47" s="6"/>
      <c r="N47" s="6"/>
      <c r="O47" s="6"/>
      <c r="P47" s="6"/>
      <c r="Q47" s="6"/>
      <c r="R47" s="10"/>
      <c r="S47" s="15"/>
      <c r="T47" s="444"/>
      <c r="U47" s="444" t="s">
        <v>243</v>
      </c>
      <c r="V47" s="444"/>
      <c r="W47" s="444"/>
      <c r="X47" s="444"/>
      <c r="Y47" s="444"/>
      <c r="Z47" s="444"/>
      <c r="AA47" s="444"/>
      <c r="AB47" s="444"/>
      <c r="AC47" s="444"/>
      <c r="AD47" s="444"/>
      <c r="AE47" s="444"/>
      <c r="AF47" s="444"/>
      <c r="AG47" s="444"/>
      <c r="AH47" s="444"/>
      <c r="AI47" s="444"/>
      <c r="AJ47" s="444"/>
      <c r="AK47" s="444"/>
      <c r="AL47" s="444"/>
      <c r="AM47" s="444"/>
      <c r="AN47" s="444"/>
      <c r="AO47" s="444"/>
      <c r="AP47" s="444"/>
      <c r="AQ47" s="444"/>
      <c r="AR47" s="444"/>
      <c r="AS47" s="444"/>
      <c r="AT47" s="444"/>
      <c r="AU47" s="444"/>
    </row>
    <row r="48" spans="2:47" x14ac:dyDescent="0.25">
      <c r="B48" s="9"/>
      <c r="C48" s="33"/>
      <c r="D48" s="32"/>
      <c r="E48" s="6"/>
      <c r="F48" s="6"/>
      <c r="G48" s="395"/>
      <c r="H48" s="401"/>
      <c r="I48" s="275"/>
      <c r="J48" s="6"/>
      <c r="K48" s="10"/>
      <c r="L48" s="10"/>
      <c r="M48" s="10"/>
      <c r="N48" s="10"/>
      <c r="O48" s="6"/>
      <c r="P48" s="6"/>
      <c r="Q48" s="6"/>
      <c r="R48" s="39"/>
      <c r="S48" s="279"/>
      <c r="T48" s="444"/>
      <c r="U48" s="444" t="s">
        <v>230</v>
      </c>
      <c r="V48" s="444"/>
      <c r="W48" s="444"/>
      <c r="X48" s="444"/>
      <c r="Y48" s="444"/>
      <c r="Z48" s="444"/>
      <c r="AA48" s="444"/>
      <c r="AB48" s="444"/>
      <c r="AC48" s="444"/>
      <c r="AD48" s="444"/>
      <c r="AE48" s="444"/>
      <c r="AF48" s="444"/>
      <c r="AG48" s="444"/>
      <c r="AH48" s="444"/>
      <c r="AI48" s="444"/>
      <c r="AJ48" s="444"/>
      <c r="AK48" s="444"/>
      <c r="AL48" s="444"/>
      <c r="AM48" s="444"/>
      <c r="AN48" s="444"/>
      <c r="AO48" s="444"/>
      <c r="AP48" s="444"/>
      <c r="AQ48" s="444"/>
      <c r="AR48" s="444"/>
      <c r="AS48" s="444"/>
      <c r="AT48" s="444"/>
      <c r="AU48" s="444"/>
    </row>
    <row r="49" spans="2:47" ht="18.75" x14ac:dyDescent="0.3">
      <c r="B49" s="9"/>
      <c r="C49" s="6"/>
      <c r="D49" s="401" t="s">
        <v>229</v>
      </c>
      <c r="E49" s="401"/>
      <c r="F49" s="401"/>
      <c r="G49" s="533" t="s">
        <v>230</v>
      </c>
      <c r="H49" s="534"/>
      <c r="I49" s="535"/>
      <c r="J49" s="6"/>
      <c r="K49" s="576" t="s">
        <v>231</v>
      </c>
      <c r="L49" s="576"/>
      <c r="M49" s="576"/>
      <c r="N49" s="280" t="e">
        <f>AH20</f>
        <v>#DIV/0!</v>
      </c>
      <c r="O49" s="280"/>
      <c r="P49" s="280"/>
      <c r="Q49" s="280"/>
      <c r="S49" s="281"/>
      <c r="T49" s="444"/>
      <c r="U49" s="444"/>
      <c r="V49" s="444"/>
      <c r="W49" s="444"/>
      <c r="X49" s="444"/>
      <c r="Y49" s="444"/>
      <c r="Z49" s="444"/>
      <c r="AA49" s="444"/>
      <c r="AB49" s="444"/>
      <c r="AC49" s="444"/>
      <c r="AD49" s="444"/>
      <c r="AE49" s="444"/>
      <c r="AF49" s="444"/>
      <c r="AG49" s="444"/>
      <c r="AH49" s="444"/>
      <c r="AI49" s="444"/>
      <c r="AJ49" s="444"/>
      <c r="AK49" s="444"/>
      <c r="AL49" s="444"/>
      <c r="AM49" s="444"/>
      <c r="AN49" s="444"/>
      <c r="AO49" s="444"/>
      <c r="AP49" s="444"/>
      <c r="AQ49" s="444"/>
      <c r="AR49" s="444"/>
      <c r="AS49" s="444"/>
      <c r="AT49" s="444"/>
      <c r="AU49" s="444"/>
    </row>
    <row r="50" spans="2:47" x14ac:dyDescent="0.25">
      <c r="B50" s="9"/>
      <c r="C50" s="6"/>
      <c r="D50" s="10"/>
      <c r="E50" s="10"/>
      <c r="F50" s="10"/>
      <c r="G50" s="10"/>
      <c r="H50" s="6"/>
      <c r="I50" s="6"/>
      <c r="J50" s="6"/>
      <c r="K50" s="399"/>
      <c r="L50" s="399"/>
      <c r="M50" s="399"/>
      <c r="N50" s="399"/>
      <c r="O50" s="399"/>
      <c r="P50" s="399"/>
      <c r="Q50" s="399"/>
      <c r="R50" s="399"/>
      <c r="S50" s="282"/>
      <c r="T50" s="444"/>
      <c r="U50" s="444" t="s">
        <v>246</v>
      </c>
      <c r="V50" s="444"/>
      <c r="W50" s="444"/>
      <c r="X50" s="444"/>
      <c r="Y50" s="444"/>
      <c r="Z50" s="444"/>
      <c r="AA50" s="444"/>
      <c r="AB50" s="444"/>
      <c r="AC50" s="444"/>
      <c r="AD50" s="444"/>
      <c r="AE50" s="444"/>
      <c r="AF50" s="444"/>
      <c r="AG50" s="444"/>
      <c r="AH50" s="444"/>
      <c r="AI50" s="444"/>
      <c r="AJ50" s="444"/>
      <c r="AK50" s="444"/>
      <c r="AL50" s="444"/>
      <c r="AM50" s="444"/>
      <c r="AN50" s="444"/>
      <c r="AO50" s="444"/>
      <c r="AP50" s="444"/>
      <c r="AQ50" s="444"/>
      <c r="AR50" s="444"/>
      <c r="AS50" s="444"/>
      <c r="AT50" s="444"/>
      <c r="AU50" s="444"/>
    </row>
    <row r="51" spans="2:47" x14ac:dyDescent="0.25">
      <c r="B51" s="9"/>
      <c r="C51" s="6"/>
      <c r="D51" s="31" t="s">
        <v>375</v>
      </c>
      <c r="E51" s="31"/>
      <c r="F51" s="31"/>
      <c r="G51" s="6"/>
      <c r="H51" s="6"/>
      <c r="I51" s="6"/>
      <c r="J51" s="6"/>
      <c r="K51" s="51"/>
      <c r="L51" s="51"/>
      <c r="M51" s="51"/>
      <c r="N51" s="52"/>
      <c r="O51" s="51"/>
      <c r="P51" s="6"/>
      <c r="R51" s="33"/>
      <c r="S51" s="37"/>
      <c r="T51" s="444"/>
      <c r="U51" s="444" t="s">
        <v>223</v>
      </c>
      <c r="V51" s="444"/>
      <c r="W51" s="444"/>
      <c r="X51" s="444"/>
      <c r="Y51" s="444"/>
      <c r="Z51" s="444"/>
      <c r="AA51" s="444"/>
      <c r="AB51" s="444"/>
      <c r="AC51" s="444"/>
      <c r="AD51" s="444"/>
      <c r="AE51" s="444"/>
      <c r="AF51" s="444"/>
      <c r="AG51" s="444"/>
      <c r="AH51" s="444"/>
      <c r="AI51" s="444"/>
      <c r="AJ51" s="444"/>
      <c r="AK51" s="444"/>
      <c r="AL51" s="444"/>
      <c r="AM51" s="444"/>
      <c r="AN51" s="444"/>
      <c r="AO51" s="444"/>
      <c r="AP51" s="444"/>
      <c r="AQ51" s="444"/>
      <c r="AR51" s="444"/>
      <c r="AS51" s="444"/>
      <c r="AT51" s="444"/>
      <c r="AU51" s="444"/>
    </row>
    <row r="52" spans="2:47" x14ac:dyDescent="0.25">
      <c r="B52" s="9"/>
      <c r="C52" s="10"/>
      <c r="D52" s="31" t="s">
        <v>377</v>
      </c>
      <c r="E52" s="31"/>
      <c r="F52" s="31"/>
      <c r="G52" s="283">
        <f>W8*1000</f>
        <v>0</v>
      </c>
      <c r="H52" s="31" t="s">
        <v>65</v>
      </c>
      <c r="I52" s="6"/>
      <c r="J52" s="6"/>
      <c r="K52" s="395" t="s">
        <v>232</v>
      </c>
      <c r="L52" s="284"/>
      <c r="M52" s="39"/>
      <c r="N52" s="395" t="e">
        <f>AI20</f>
        <v>#DIV/0!</v>
      </c>
      <c r="O52" s="10" t="s">
        <v>16</v>
      </c>
      <c r="Q52" s="33"/>
      <c r="R52" s="10"/>
      <c r="S52" s="15"/>
      <c r="T52" s="444"/>
      <c r="U52" s="444" t="s">
        <v>247</v>
      </c>
      <c r="V52" s="444"/>
      <c r="W52" s="444"/>
      <c r="X52" s="444"/>
      <c r="Y52" s="444"/>
      <c r="Z52" s="444"/>
      <c r="AA52" s="444"/>
      <c r="AB52" s="444"/>
      <c r="AC52" s="444"/>
      <c r="AD52" s="444"/>
      <c r="AE52" s="444"/>
      <c r="AF52" s="444"/>
      <c r="AG52" s="444"/>
      <c r="AH52" s="444"/>
      <c r="AI52" s="444"/>
      <c r="AJ52" s="444"/>
      <c r="AK52" s="444"/>
      <c r="AL52" s="444"/>
      <c r="AM52" s="444"/>
      <c r="AN52" s="444"/>
      <c r="AO52" s="444"/>
      <c r="AP52" s="444"/>
      <c r="AQ52" s="444"/>
      <c r="AR52" s="444"/>
      <c r="AS52" s="444"/>
      <c r="AT52" s="444"/>
      <c r="AU52" s="444"/>
    </row>
    <row r="53" spans="2:47" x14ac:dyDescent="0.25">
      <c r="B53" s="9"/>
      <c r="C53" s="10"/>
      <c r="D53" s="6"/>
      <c r="E53" s="6"/>
      <c r="F53" s="6"/>
      <c r="G53" s="6"/>
      <c r="H53" s="6"/>
      <c r="I53" s="6"/>
      <c r="J53" s="6"/>
      <c r="K53" s="53"/>
      <c r="L53" s="10"/>
      <c r="M53" s="39"/>
      <c r="N53" s="10"/>
      <c r="O53" s="10"/>
      <c r="P53" s="10"/>
      <c r="Q53" s="10"/>
      <c r="R53" s="6"/>
      <c r="S53" s="15"/>
      <c r="T53" s="444"/>
      <c r="U53" s="444"/>
      <c r="V53" s="444"/>
      <c r="W53" s="444"/>
      <c r="X53" s="444"/>
      <c r="Y53" s="444"/>
      <c r="Z53" s="444"/>
      <c r="AA53" s="444"/>
      <c r="AB53" s="444"/>
      <c r="AC53" s="444"/>
      <c r="AD53" s="444"/>
      <c r="AE53" s="444"/>
      <c r="AF53" s="444"/>
      <c r="AG53" s="444"/>
      <c r="AH53" s="444"/>
      <c r="AI53" s="444"/>
      <c r="AJ53" s="444"/>
      <c r="AK53" s="444"/>
      <c r="AL53" s="444"/>
      <c r="AM53" s="444"/>
      <c r="AN53" s="444"/>
      <c r="AO53" s="444"/>
      <c r="AP53" s="444"/>
      <c r="AQ53" s="444"/>
      <c r="AR53" s="444"/>
      <c r="AS53" s="444"/>
      <c r="AT53" s="444"/>
      <c r="AU53" s="444"/>
    </row>
    <row r="54" spans="2:47" x14ac:dyDescent="0.25">
      <c r="B54" s="9"/>
      <c r="C54" s="10"/>
      <c r="D54" s="398"/>
      <c r="E54" s="398"/>
      <c r="F54" s="398"/>
      <c r="G54" s="398"/>
      <c r="H54" s="6"/>
      <c r="I54" s="6"/>
      <c r="J54" s="6"/>
      <c r="K54" s="10" t="s">
        <v>73</v>
      </c>
      <c r="L54" s="35"/>
      <c r="M54" s="398"/>
      <c r="N54" s="57" t="e">
        <f>IF(AI20="NA","NA",W23*1000)</f>
        <v>#DIV/0!</v>
      </c>
      <c r="O54" s="10" t="s">
        <v>65</v>
      </c>
      <c r="P54" s="395" t="s">
        <v>21</v>
      </c>
      <c r="Q54" s="60" t="e">
        <f>IF(AI20="NA","NA",W24)</f>
        <v>#DIV/0!</v>
      </c>
      <c r="R54" s="60"/>
      <c r="S54" s="15"/>
      <c r="T54" s="444"/>
      <c r="U54" s="444"/>
      <c r="V54" s="444"/>
      <c r="W54" s="444"/>
      <c r="X54" s="444"/>
      <c r="Y54" s="444"/>
      <c r="Z54" s="444"/>
      <c r="AA54" s="444"/>
      <c r="AB54" s="444"/>
      <c r="AC54" s="444"/>
      <c r="AD54" s="444"/>
      <c r="AE54" s="444"/>
      <c r="AF54" s="444"/>
      <c r="AG54" s="444"/>
      <c r="AH54" s="444"/>
      <c r="AI54" s="444"/>
      <c r="AJ54" s="444"/>
      <c r="AK54" s="444"/>
      <c r="AL54" s="444"/>
      <c r="AM54" s="444"/>
      <c r="AN54" s="444"/>
      <c r="AO54" s="444"/>
      <c r="AP54" s="444"/>
      <c r="AQ54" s="444"/>
      <c r="AR54" s="444"/>
      <c r="AS54" s="444"/>
      <c r="AT54" s="444"/>
      <c r="AU54" s="444"/>
    </row>
    <row r="55" spans="2:47" x14ac:dyDescent="0.25">
      <c r="B55" s="9"/>
      <c r="C55" s="10"/>
      <c r="D55" s="398"/>
      <c r="E55" s="398"/>
      <c r="F55" s="398"/>
      <c r="G55" s="398"/>
      <c r="H55" s="6"/>
      <c r="I55" s="6"/>
      <c r="J55" s="6"/>
      <c r="K55" s="10"/>
      <c r="L55" s="39"/>
      <c r="M55" s="398"/>
      <c r="N55" s="395"/>
      <c r="O55" s="10"/>
      <c r="P55" s="10"/>
      <c r="Q55" s="285"/>
      <c r="R55" s="394"/>
      <c r="S55" s="37"/>
      <c r="T55" s="444"/>
      <c r="U55" s="444"/>
      <c r="V55" s="444"/>
      <c r="W55" s="444"/>
      <c r="X55" s="444"/>
      <c r="Y55" s="444"/>
      <c r="Z55" s="444"/>
      <c r="AA55" s="444"/>
      <c r="AB55" s="444"/>
      <c r="AC55" s="444"/>
      <c r="AD55" s="444"/>
      <c r="AE55" s="444"/>
      <c r="AF55" s="444"/>
      <c r="AG55" s="444"/>
      <c r="AH55" s="444"/>
      <c r="AI55" s="444"/>
      <c r="AJ55" s="444"/>
      <c r="AK55" s="444"/>
      <c r="AL55" s="444"/>
      <c r="AM55" s="444"/>
      <c r="AN55" s="444"/>
      <c r="AO55" s="444"/>
      <c r="AP55" s="444"/>
      <c r="AQ55" s="444"/>
      <c r="AR55" s="444"/>
      <c r="AS55" s="444"/>
      <c r="AT55" s="444"/>
      <c r="AU55" s="444"/>
    </row>
    <row r="56" spans="2:47" x14ac:dyDescent="0.25">
      <c r="B56" s="9"/>
      <c r="C56" s="10"/>
      <c r="D56" s="6"/>
      <c r="E56" s="6"/>
      <c r="F56" s="6"/>
      <c r="G56" s="6"/>
      <c r="H56" s="6"/>
      <c r="I56" s="6"/>
      <c r="J56" s="6"/>
      <c r="K56" s="10"/>
      <c r="L56" s="35"/>
      <c r="M56" s="398"/>
      <c r="N56" s="395" t="s">
        <v>74</v>
      </c>
      <c r="O56" s="10"/>
      <c r="P56" s="395" t="s">
        <v>75</v>
      </c>
      <c r="Q56" s="10"/>
      <c r="R56" s="286"/>
      <c r="S56" s="287"/>
      <c r="T56" s="444"/>
      <c r="U56" s="444"/>
      <c r="V56" s="444"/>
      <c r="W56" s="444"/>
      <c r="X56" s="444"/>
      <c r="Y56" s="444"/>
      <c r="Z56" s="444"/>
      <c r="AA56" s="444"/>
      <c r="AB56" s="444"/>
      <c r="AC56" s="444"/>
      <c r="AD56" s="444"/>
      <c r="AE56" s="444"/>
      <c r="AF56" s="444"/>
      <c r="AG56" s="444"/>
      <c r="AH56" s="444"/>
      <c r="AI56" s="444"/>
      <c r="AJ56" s="444"/>
      <c r="AK56" s="444"/>
      <c r="AL56" s="444"/>
      <c r="AM56" s="444"/>
      <c r="AN56" s="444"/>
      <c r="AO56" s="444"/>
      <c r="AP56" s="444"/>
      <c r="AQ56" s="444"/>
      <c r="AR56" s="444"/>
      <c r="AS56" s="444"/>
      <c r="AT56" s="444"/>
      <c r="AU56" s="444"/>
    </row>
    <row r="57" spans="2:47" x14ac:dyDescent="0.25">
      <c r="B57" s="9"/>
      <c r="C57" s="10"/>
      <c r="D57" s="6"/>
      <c r="E57" s="288"/>
      <c r="F57" s="288"/>
      <c r="G57" s="288"/>
      <c r="H57" s="6"/>
      <c r="I57" s="6"/>
      <c r="J57" s="6"/>
      <c r="K57" s="10" t="s">
        <v>76</v>
      </c>
      <c r="L57" s="39"/>
      <c r="M57" s="398"/>
      <c r="N57" s="57">
        <f>W26/1000</f>
        <v>0</v>
      </c>
      <c r="O57" s="10" t="s">
        <v>77</v>
      </c>
      <c r="P57" s="57">
        <f>X26/1000</f>
        <v>0</v>
      </c>
      <c r="Q57" s="10" t="s">
        <v>77</v>
      </c>
      <c r="R57" s="6"/>
      <c r="S57" s="28"/>
      <c r="T57" s="444"/>
      <c r="U57" s="444"/>
      <c r="V57" s="444"/>
      <c r="W57" s="444"/>
      <c r="X57" s="444"/>
      <c r="Y57" s="444"/>
      <c r="Z57" s="444"/>
      <c r="AA57" s="444"/>
      <c r="AB57" s="444"/>
      <c r="AC57" s="444"/>
      <c r="AD57" s="444"/>
      <c r="AE57" s="444"/>
      <c r="AF57" s="444"/>
      <c r="AG57" s="444"/>
      <c r="AH57" s="444"/>
      <c r="AI57" s="444"/>
      <c r="AJ57" s="444"/>
      <c r="AK57" s="444"/>
      <c r="AL57" s="444"/>
      <c r="AM57" s="444"/>
      <c r="AN57" s="444"/>
      <c r="AO57" s="444"/>
      <c r="AP57" s="444"/>
      <c r="AQ57" s="444"/>
      <c r="AR57" s="444"/>
      <c r="AS57" s="444"/>
      <c r="AT57" s="444"/>
      <c r="AU57" s="444"/>
    </row>
    <row r="58" spans="2:47" x14ac:dyDescent="0.25">
      <c r="B58" s="9"/>
      <c r="C58" s="10"/>
      <c r="D58" s="6"/>
      <c r="E58" s="26"/>
      <c r="F58" s="289"/>
      <c r="G58" s="10"/>
      <c r="H58" s="6"/>
      <c r="I58" s="6"/>
      <c r="K58" s="53"/>
      <c r="L58" s="53"/>
      <c r="M58" s="398"/>
      <c r="N58" s="390"/>
      <c r="O58" s="53"/>
      <c r="P58" s="275"/>
      <c r="Q58" s="53"/>
      <c r="R58" s="286"/>
      <c r="S58" s="287"/>
      <c r="T58" s="444"/>
      <c r="U58" s="444"/>
      <c r="V58" s="444"/>
      <c r="W58" s="444"/>
      <c r="X58" s="444"/>
      <c r="Y58" s="444"/>
      <c r="Z58" s="444"/>
      <c r="AA58" s="444"/>
      <c r="AB58" s="444"/>
      <c r="AC58" s="444"/>
      <c r="AD58" s="444"/>
      <c r="AE58" s="444"/>
      <c r="AF58" s="444"/>
      <c r="AG58" s="444"/>
      <c r="AH58" s="444"/>
      <c r="AI58" s="444"/>
      <c r="AJ58" s="444"/>
      <c r="AK58" s="444"/>
      <c r="AL58" s="444"/>
      <c r="AM58" s="444"/>
      <c r="AN58" s="444"/>
      <c r="AO58" s="444"/>
      <c r="AP58" s="444"/>
      <c r="AQ58" s="444"/>
      <c r="AR58" s="444"/>
      <c r="AS58" s="444"/>
      <c r="AT58" s="444"/>
      <c r="AU58" s="444"/>
    </row>
    <row r="59" spans="2:47" x14ac:dyDescent="0.25">
      <c r="B59" s="9"/>
      <c r="C59" s="10"/>
      <c r="D59" s="6"/>
      <c r="E59" s="6"/>
      <c r="F59" s="6"/>
      <c r="G59" s="6"/>
      <c r="H59" s="6"/>
      <c r="I59" s="6"/>
      <c r="J59" s="286"/>
      <c r="K59" s="10" t="s">
        <v>78</v>
      </c>
      <c r="L59" s="10"/>
      <c r="N59" s="57">
        <f>W27/1000</f>
        <v>0</v>
      </c>
      <c r="O59" s="10" t="s">
        <v>77</v>
      </c>
      <c r="P59" s="57">
        <f>X27/1000</f>
        <v>0</v>
      </c>
      <c r="Q59" s="10" t="s">
        <v>77</v>
      </c>
      <c r="R59" s="286"/>
      <c r="S59" s="287"/>
      <c r="T59" s="444"/>
      <c r="U59" s="444"/>
      <c r="V59" s="444"/>
      <c r="W59" s="444"/>
      <c r="X59" s="444"/>
      <c r="Y59" s="444"/>
      <c r="Z59" s="444"/>
      <c r="AA59" s="444"/>
      <c r="AB59" s="444"/>
      <c r="AC59" s="444"/>
      <c r="AD59" s="444"/>
      <c r="AE59" s="444"/>
      <c r="AF59" s="444"/>
      <c r="AG59" s="444"/>
      <c r="AH59" s="444"/>
      <c r="AI59" s="444"/>
      <c r="AJ59" s="444"/>
      <c r="AK59" s="444"/>
      <c r="AL59" s="444"/>
      <c r="AM59" s="444"/>
      <c r="AN59" s="444"/>
      <c r="AO59" s="444"/>
      <c r="AP59" s="444"/>
      <c r="AQ59" s="444"/>
      <c r="AR59" s="444"/>
      <c r="AS59" s="444"/>
      <c r="AT59" s="444"/>
      <c r="AU59" s="444"/>
    </row>
    <row r="60" spans="2:47" x14ac:dyDescent="0.25">
      <c r="B60" s="9"/>
      <c r="C60" s="10"/>
      <c r="D60" s="6"/>
      <c r="E60" s="288"/>
      <c r="F60" s="288"/>
      <c r="G60" s="288"/>
      <c r="H60" s="6"/>
      <c r="I60" s="6"/>
      <c r="J60" s="286"/>
      <c r="K60" s="286"/>
      <c r="L60" s="286"/>
      <c r="M60" s="286"/>
      <c r="N60" s="286"/>
      <c r="O60" s="286"/>
      <c r="P60" s="286"/>
      <c r="Q60" s="286"/>
      <c r="R60" s="286"/>
      <c r="S60" s="287"/>
      <c r="T60" s="444"/>
      <c r="U60" s="444"/>
      <c r="V60" s="444"/>
      <c r="W60" s="444"/>
      <c r="X60" s="444"/>
      <c r="Y60" s="444"/>
      <c r="Z60" s="444"/>
      <c r="AA60" s="444"/>
      <c r="AB60" s="444"/>
      <c r="AC60" s="444"/>
      <c r="AD60" s="444"/>
      <c r="AE60" s="444"/>
      <c r="AF60" s="444"/>
      <c r="AG60" s="444"/>
      <c r="AH60" s="444"/>
      <c r="AI60" s="444"/>
      <c r="AJ60" s="444"/>
      <c r="AK60" s="444"/>
      <c r="AL60" s="444"/>
      <c r="AM60" s="444"/>
      <c r="AN60" s="444"/>
      <c r="AO60" s="444"/>
      <c r="AP60" s="444"/>
      <c r="AQ60" s="444"/>
      <c r="AR60" s="444"/>
      <c r="AS60" s="444"/>
      <c r="AT60" s="444"/>
      <c r="AU60" s="444"/>
    </row>
    <row r="61" spans="2:47" x14ac:dyDescent="0.25">
      <c r="B61" s="9"/>
      <c r="C61" s="10"/>
      <c r="D61" s="6"/>
      <c r="E61" s="30"/>
      <c r="F61" s="289"/>
      <c r="G61" s="10"/>
      <c r="H61" s="6"/>
      <c r="I61" s="6"/>
      <c r="J61" s="6"/>
      <c r="K61" s="10"/>
      <c r="L61" s="394"/>
      <c r="M61" s="394"/>
      <c r="N61" s="394"/>
      <c r="O61" s="394"/>
      <c r="P61" s="394"/>
      <c r="Q61" s="394"/>
      <c r="R61" s="394"/>
      <c r="S61" s="15"/>
      <c r="T61" s="444"/>
      <c r="U61" s="444"/>
      <c r="V61" s="444"/>
      <c r="W61" s="444"/>
      <c r="X61" s="444"/>
      <c r="Y61" s="444"/>
      <c r="Z61" s="444"/>
      <c r="AA61" s="444"/>
      <c r="AB61" s="444"/>
      <c r="AC61" s="444"/>
      <c r="AD61" s="444"/>
      <c r="AE61" s="444"/>
      <c r="AF61" s="444"/>
      <c r="AG61" s="444"/>
      <c r="AH61" s="444"/>
      <c r="AI61" s="444"/>
      <c r="AJ61" s="444"/>
      <c r="AK61" s="444"/>
      <c r="AL61" s="444"/>
      <c r="AM61" s="444"/>
      <c r="AN61" s="444"/>
      <c r="AO61" s="444"/>
      <c r="AP61" s="444"/>
      <c r="AQ61" s="444"/>
      <c r="AR61" s="444"/>
      <c r="AS61" s="444"/>
      <c r="AT61" s="444"/>
      <c r="AU61" s="444"/>
    </row>
    <row r="62" spans="2:47" x14ac:dyDescent="0.25">
      <c r="B62" s="9"/>
      <c r="C62" s="577" t="s">
        <v>233</v>
      </c>
      <c r="D62" s="578"/>
      <c r="E62" s="578"/>
      <c r="F62" s="578"/>
      <c r="G62" s="578"/>
      <c r="H62" s="578"/>
      <c r="I62" s="578"/>
      <c r="J62" s="578"/>
      <c r="K62" s="578"/>
      <c r="L62" s="578"/>
      <c r="M62" s="578"/>
      <c r="N62" s="578"/>
      <c r="O62" s="578"/>
      <c r="P62" s="579"/>
      <c r="Q62" s="579"/>
      <c r="R62" s="580"/>
      <c r="S62" s="15"/>
      <c r="T62" s="444"/>
      <c r="U62" s="444"/>
      <c r="V62" s="444"/>
      <c r="W62" s="444"/>
      <c r="X62" s="444"/>
      <c r="Y62" s="444"/>
      <c r="Z62" s="444"/>
      <c r="AA62" s="444"/>
      <c r="AB62" s="444"/>
      <c r="AC62" s="444"/>
      <c r="AD62" s="444"/>
      <c r="AE62" s="444"/>
      <c r="AF62" s="444"/>
      <c r="AG62" s="444"/>
      <c r="AH62" s="444"/>
      <c r="AI62" s="444"/>
      <c r="AJ62" s="444"/>
      <c r="AK62" s="444"/>
      <c r="AL62" s="444"/>
      <c r="AM62" s="444"/>
      <c r="AN62" s="444"/>
      <c r="AO62" s="444"/>
      <c r="AP62" s="444"/>
      <c r="AQ62" s="444"/>
      <c r="AR62" s="444"/>
      <c r="AS62" s="444"/>
      <c r="AT62" s="444"/>
      <c r="AU62" s="444"/>
    </row>
    <row r="63" spans="2:47" ht="15.75" x14ac:dyDescent="0.25">
      <c r="B63" s="5"/>
      <c r="C63" s="290"/>
      <c r="D63" s="291"/>
      <c r="E63" s="291"/>
      <c r="F63" s="291"/>
      <c r="G63" s="291"/>
      <c r="H63" s="292"/>
      <c r="I63" s="292"/>
      <c r="J63" s="292"/>
      <c r="K63" s="293"/>
      <c r="L63" s="294"/>
      <c r="M63" s="293"/>
      <c r="N63" s="295"/>
      <c r="O63" s="296"/>
      <c r="P63" s="297"/>
      <c r="Q63" s="297"/>
      <c r="R63" s="298"/>
      <c r="S63" s="15"/>
      <c r="T63" s="444"/>
      <c r="U63" s="444"/>
      <c r="V63" s="444" t="s">
        <v>265</v>
      </c>
      <c r="W63" s="444"/>
      <c r="X63" s="444"/>
      <c r="Y63" s="444"/>
      <c r="Z63" s="444"/>
      <c r="AA63" s="444"/>
      <c r="AB63" s="444"/>
      <c r="AC63" s="444"/>
      <c r="AD63" s="444"/>
      <c r="AE63" s="444"/>
      <c r="AF63" s="444"/>
      <c r="AG63" s="444"/>
      <c r="AH63" s="444"/>
      <c r="AI63" s="444"/>
      <c r="AJ63" s="444"/>
      <c r="AK63" s="444"/>
      <c r="AL63" s="444"/>
      <c r="AM63" s="444"/>
      <c r="AN63" s="444"/>
      <c r="AO63" s="444"/>
      <c r="AP63" s="444"/>
      <c r="AQ63" s="444"/>
      <c r="AR63" s="444"/>
      <c r="AS63" s="444"/>
      <c r="AT63" s="444"/>
      <c r="AU63" s="444"/>
    </row>
    <row r="64" spans="2:47" ht="18.75" x14ac:dyDescent="0.3">
      <c r="B64" s="5"/>
      <c r="C64" s="321"/>
      <c r="D64" s="299" t="s">
        <v>234</v>
      </c>
      <c r="E64" s="322"/>
      <c r="F64" s="300"/>
      <c r="G64" s="301"/>
      <c r="H64" s="302" t="s">
        <v>65</v>
      </c>
      <c r="I64" s="303" t="s">
        <v>235</v>
      </c>
      <c r="J64" s="300"/>
      <c r="K64" s="300"/>
      <c r="L64" s="301"/>
      <c r="M64" s="302" t="s">
        <v>65</v>
      </c>
      <c r="N64" s="304"/>
      <c r="O64" s="305"/>
      <c r="P64" s="306"/>
      <c r="Q64" s="306"/>
      <c r="R64" s="298"/>
      <c r="S64" s="15"/>
      <c r="T64" s="444">
        <v>150</v>
      </c>
      <c r="U64" s="444"/>
      <c r="V64" s="444"/>
      <c r="W64" s="444"/>
      <c r="X64" s="444"/>
      <c r="Y64" s="444"/>
      <c r="Z64" s="444"/>
      <c r="AA64" s="444"/>
      <c r="AB64" s="444"/>
      <c r="AC64" s="444"/>
      <c r="AD64" s="444"/>
      <c r="AE64" s="444"/>
      <c r="AF64" s="444"/>
      <c r="AG64" s="444"/>
      <c r="AH64" s="444"/>
      <c r="AI64" s="444"/>
      <c r="AJ64" s="444"/>
      <c r="AK64" s="444"/>
      <c r="AL64" s="444"/>
      <c r="AM64" s="444"/>
      <c r="AN64" s="444"/>
      <c r="AO64" s="444"/>
      <c r="AP64" s="444"/>
      <c r="AQ64" s="444"/>
      <c r="AR64" s="444"/>
      <c r="AS64" s="444"/>
      <c r="AT64" s="444"/>
      <c r="AU64" s="444"/>
    </row>
    <row r="65" spans="2:47" ht="15.75" x14ac:dyDescent="0.25">
      <c r="B65" s="5"/>
      <c r="C65" s="321"/>
      <c r="D65" s="307"/>
      <c r="E65" s="322"/>
      <c r="F65" s="300"/>
      <c r="G65" s="302"/>
      <c r="H65" s="302"/>
      <c r="I65" s="302"/>
      <c r="J65" s="302"/>
      <c r="K65" s="302"/>
      <c r="L65" s="308"/>
      <c r="M65" s="309"/>
      <c r="N65" s="310"/>
      <c r="O65" s="311"/>
      <c r="P65" s="310"/>
      <c r="Q65" s="310"/>
      <c r="R65" s="312"/>
      <c r="S65" s="15"/>
      <c r="T65" s="444">
        <v>200</v>
      </c>
      <c r="U65" s="444"/>
      <c r="V65" s="444"/>
      <c r="W65" s="444"/>
      <c r="X65" s="444"/>
      <c r="Y65" s="444"/>
      <c r="Z65" s="444"/>
      <c r="AA65" s="444"/>
      <c r="AB65" s="444"/>
      <c r="AC65" s="444"/>
      <c r="AD65" s="444"/>
      <c r="AE65" s="444"/>
      <c r="AF65" s="444"/>
      <c r="AG65" s="444"/>
      <c r="AH65" s="444"/>
      <c r="AI65" s="444"/>
      <c r="AJ65" s="444"/>
      <c r="AK65" s="444"/>
      <c r="AL65" s="444"/>
      <c r="AM65" s="444"/>
      <c r="AN65" s="444"/>
      <c r="AO65" s="444"/>
      <c r="AP65" s="444"/>
      <c r="AQ65" s="444"/>
      <c r="AR65" s="444"/>
      <c r="AS65" s="444"/>
      <c r="AT65" s="444"/>
      <c r="AU65" s="444"/>
    </row>
    <row r="66" spans="2:47" ht="18.75" x14ac:dyDescent="0.3">
      <c r="B66" s="5"/>
      <c r="C66" s="321"/>
      <c r="D66" s="307" t="s">
        <v>236</v>
      </c>
      <c r="E66" s="322"/>
      <c r="F66" s="300"/>
      <c r="G66" s="313">
        <v>150</v>
      </c>
      <c r="H66" s="314"/>
      <c r="I66" s="307" t="s">
        <v>227</v>
      </c>
      <c r="J66" s="307"/>
      <c r="K66" s="300"/>
      <c r="L66" s="581" t="s">
        <v>264</v>
      </c>
      <c r="M66" s="582"/>
      <c r="N66" s="583"/>
      <c r="O66" s="315"/>
      <c r="P66" s="308"/>
      <c r="Q66" s="308"/>
      <c r="R66" s="316"/>
      <c r="S66" s="15"/>
      <c r="T66" s="444"/>
      <c r="U66" s="444"/>
      <c r="V66" s="444"/>
      <c r="W66" s="444"/>
      <c r="X66" s="444"/>
      <c r="Y66" s="444"/>
      <c r="Z66" s="444"/>
      <c r="AA66" s="444"/>
      <c r="AB66" s="444"/>
      <c r="AC66" s="444"/>
      <c r="AD66" s="444"/>
      <c r="AE66" s="444"/>
      <c r="AF66" s="444"/>
      <c r="AG66" s="444"/>
      <c r="AH66" s="444"/>
      <c r="AI66" s="444"/>
      <c r="AJ66" s="444"/>
      <c r="AK66" s="444"/>
      <c r="AL66" s="444"/>
      <c r="AM66" s="444"/>
      <c r="AN66" s="444"/>
      <c r="AO66" s="444"/>
      <c r="AP66" s="444"/>
      <c r="AQ66" s="444"/>
      <c r="AR66" s="444"/>
      <c r="AS66" s="444"/>
      <c r="AT66" s="444"/>
      <c r="AU66" s="444"/>
    </row>
    <row r="67" spans="2:47" x14ac:dyDescent="0.25">
      <c r="B67" s="5"/>
      <c r="C67" s="321"/>
      <c r="D67" s="307"/>
      <c r="E67" s="322"/>
      <c r="F67" s="300"/>
      <c r="G67" s="314"/>
      <c r="H67" s="314"/>
      <c r="I67" s="302"/>
      <c r="J67" s="302"/>
      <c r="K67" s="302"/>
      <c r="L67" s="308"/>
      <c r="M67" s="308"/>
      <c r="N67" s="308"/>
      <c r="O67" s="315"/>
      <c r="P67" s="308"/>
      <c r="Q67" s="308"/>
      <c r="R67" s="317"/>
      <c r="S67" s="282"/>
      <c r="T67" s="444">
        <v>1</v>
      </c>
      <c r="U67" s="444"/>
      <c r="V67" s="444"/>
      <c r="W67" s="444"/>
      <c r="X67" s="444"/>
      <c r="Y67" s="444"/>
      <c r="Z67" s="444"/>
      <c r="AA67" s="444"/>
      <c r="AB67" s="444"/>
      <c r="AC67" s="444"/>
      <c r="AD67" s="444"/>
      <c r="AE67" s="444"/>
      <c r="AF67" s="444"/>
      <c r="AG67" s="444"/>
      <c r="AH67" s="444"/>
      <c r="AI67" s="444"/>
      <c r="AJ67" s="444"/>
      <c r="AK67" s="444"/>
      <c r="AL67" s="444"/>
      <c r="AM67" s="444"/>
      <c r="AN67" s="444"/>
      <c r="AO67" s="444"/>
      <c r="AP67" s="444"/>
      <c r="AQ67" s="444"/>
      <c r="AR67" s="444"/>
      <c r="AS67" s="444"/>
      <c r="AT67" s="444"/>
      <c r="AU67" s="444"/>
    </row>
    <row r="68" spans="2:47" x14ac:dyDescent="0.25">
      <c r="B68" s="5"/>
      <c r="C68" s="321"/>
      <c r="D68" s="307" t="s">
        <v>237</v>
      </c>
      <c r="E68" s="322"/>
      <c r="F68" s="300"/>
      <c r="G68" s="313">
        <v>1</v>
      </c>
      <c r="H68" s="300"/>
      <c r="I68" s="318" t="s">
        <v>238</v>
      </c>
      <c r="J68" s="307"/>
      <c r="K68" s="300">
        <f>B95</f>
        <v>336</v>
      </c>
      <c r="L68" s="584"/>
      <c r="M68" s="584"/>
      <c r="N68" s="584"/>
      <c r="O68" s="319"/>
      <c r="P68" s="308"/>
      <c r="Q68" s="308"/>
      <c r="R68" s="320"/>
      <c r="S68" s="15"/>
      <c r="T68" s="444">
        <v>2</v>
      </c>
      <c r="U68" s="444"/>
      <c r="V68" s="444"/>
      <c r="W68" s="444"/>
      <c r="X68" s="444"/>
      <c r="Y68" s="444"/>
      <c r="Z68" s="444"/>
      <c r="AA68" s="444"/>
      <c r="AB68" s="444"/>
      <c r="AC68" s="444"/>
      <c r="AD68" s="444"/>
      <c r="AE68" s="444"/>
      <c r="AF68" s="444"/>
      <c r="AG68" s="444"/>
      <c r="AH68" s="444"/>
      <c r="AI68" s="444"/>
      <c r="AJ68" s="444"/>
      <c r="AK68" s="444"/>
      <c r="AL68" s="444"/>
      <c r="AM68" s="444"/>
      <c r="AN68" s="444"/>
      <c r="AO68" s="444"/>
      <c r="AP68" s="444"/>
      <c r="AQ68" s="444"/>
      <c r="AR68" s="444"/>
      <c r="AS68" s="444"/>
      <c r="AT68" s="444"/>
      <c r="AU68" s="444"/>
    </row>
    <row r="69" spans="2:47" x14ac:dyDescent="0.25">
      <c r="B69" s="5"/>
      <c r="C69" s="321"/>
      <c r="D69" s="314"/>
      <c r="E69" s="314"/>
      <c r="F69" s="314"/>
      <c r="G69" s="314"/>
      <c r="H69" s="322"/>
      <c r="I69" s="323"/>
      <c r="J69" s="322"/>
      <c r="K69" s="324"/>
      <c r="L69" s="325"/>
      <c r="M69" s="325"/>
      <c r="N69" s="308"/>
      <c r="O69" s="315"/>
      <c r="P69" s="308"/>
      <c r="Q69" s="308"/>
      <c r="R69" s="320"/>
      <c r="S69" s="15"/>
      <c r="T69" s="444">
        <v>3</v>
      </c>
      <c r="U69" s="444"/>
      <c r="V69" s="444"/>
      <c r="W69" s="444"/>
      <c r="X69" s="444"/>
      <c r="Y69" s="444"/>
      <c r="Z69" s="444"/>
      <c r="AA69" s="444"/>
      <c r="AB69" s="444"/>
      <c r="AC69" s="444"/>
      <c r="AD69" s="444"/>
      <c r="AE69" s="444"/>
      <c r="AF69" s="444"/>
      <c r="AG69" s="444"/>
      <c r="AH69" s="444"/>
      <c r="AI69" s="444"/>
      <c r="AJ69" s="444"/>
      <c r="AK69" s="444"/>
      <c r="AL69" s="444"/>
      <c r="AM69" s="444"/>
      <c r="AN69" s="444"/>
      <c r="AO69" s="444"/>
      <c r="AP69" s="444"/>
      <c r="AQ69" s="444"/>
      <c r="AR69" s="444"/>
      <c r="AS69" s="444"/>
      <c r="AT69" s="444"/>
      <c r="AU69" s="444"/>
    </row>
    <row r="70" spans="2:47" ht="18.75" x14ac:dyDescent="0.3">
      <c r="B70" s="5"/>
      <c r="C70" s="321"/>
      <c r="D70" s="590" t="s">
        <v>239</v>
      </c>
      <c r="E70" s="590"/>
      <c r="F70" s="590"/>
      <c r="G70" s="322"/>
      <c r="H70" s="326"/>
      <c r="I70" s="327" t="e">
        <f>AH27</f>
        <v>#DIV/0!</v>
      </c>
      <c r="J70" s="322"/>
      <c r="K70" s="327"/>
      <c r="L70" s="327"/>
      <c r="M70" s="327"/>
      <c r="N70" s="314"/>
      <c r="O70" s="328"/>
      <c r="P70" s="314"/>
      <c r="Q70" s="314"/>
      <c r="R70" s="320"/>
      <c r="S70" s="15"/>
      <c r="T70" s="444">
        <v>4</v>
      </c>
      <c r="U70" s="444"/>
      <c r="V70" s="444"/>
      <c r="W70" s="444"/>
      <c r="X70" s="444"/>
      <c r="Y70" s="444"/>
      <c r="Z70" s="444"/>
      <c r="AA70" s="444"/>
      <c r="AB70" s="444"/>
      <c r="AC70" s="444"/>
      <c r="AD70" s="444"/>
      <c r="AE70" s="444"/>
      <c r="AF70" s="444"/>
      <c r="AG70" s="444"/>
      <c r="AH70" s="444"/>
      <c r="AI70" s="444"/>
      <c r="AJ70" s="444"/>
      <c r="AK70" s="444"/>
      <c r="AL70" s="444"/>
      <c r="AM70" s="444"/>
      <c r="AN70" s="444"/>
      <c r="AO70" s="444"/>
      <c r="AP70" s="444"/>
      <c r="AQ70" s="444"/>
      <c r="AR70" s="444"/>
      <c r="AS70" s="444"/>
      <c r="AT70" s="444"/>
      <c r="AU70" s="444"/>
    </row>
    <row r="71" spans="2:47" ht="18.75" x14ac:dyDescent="0.3">
      <c r="B71" s="5"/>
      <c r="C71" s="321"/>
      <c r="D71" s="590" t="s">
        <v>240</v>
      </c>
      <c r="E71" s="590"/>
      <c r="F71" s="590"/>
      <c r="G71" s="314"/>
      <c r="H71" s="322"/>
      <c r="I71" s="329"/>
      <c r="J71" s="330"/>
      <c r="K71" s="329"/>
      <c r="L71" s="329"/>
      <c r="M71" s="331"/>
      <c r="N71" s="308"/>
      <c r="O71" s="315"/>
      <c r="P71" s="308"/>
      <c r="Q71" s="308"/>
      <c r="R71" s="320"/>
      <c r="S71" s="15"/>
      <c r="T71" s="444">
        <v>5</v>
      </c>
      <c r="U71" s="444"/>
      <c r="V71" s="444"/>
      <c r="W71" s="444"/>
      <c r="X71" s="444"/>
      <c r="Y71" s="444"/>
      <c r="Z71" s="444"/>
      <c r="AA71" s="444"/>
      <c r="AB71" s="444"/>
      <c r="AC71" s="444"/>
      <c r="AD71" s="444"/>
      <c r="AE71" s="444"/>
      <c r="AF71" s="444"/>
      <c r="AG71" s="444"/>
      <c r="AH71" s="444"/>
      <c r="AI71" s="444"/>
      <c r="AJ71" s="444"/>
      <c r="AK71" s="444"/>
      <c r="AL71" s="444"/>
      <c r="AM71" s="444"/>
      <c r="AN71" s="444"/>
      <c r="AO71" s="444"/>
      <c r="AP71" s="444"/>
      <c r="AQ71" s="444"/>
      <c r="AR71" s="444"/>
      <c r="AS71" s="444"/>
      <c r="AT71" s="444"/>
      <c r="AU71" s="444"/>
    </row>
    <row r="72" spans="2:47" x14ac:dyDescent="0.25">
      <c r="B72" s="5"/>
      <c r="C72" s="321"/>
      <c r="D72" s="314"/>
      <c r="E72" s="322"/>
      <c r="F72" s="322"/>
      <c r="G72" s="314"/>
      <c r="H72" s="314"/>
      <c r="I72" s="314"/>
      <c r="J72" s="314"/>
      <c r="K72" s="314"/>
      <c r="L72" s="314"/>
      <c r="M72" s="314"/>
      <c r="N72" s="314"/>
      <c r="O72" s="332"/>
      <c r="P72" s="323"/>
      <c r="Q72" s="323"/>
      <c r="R72" s="320"/>
      <c r="S72" s="15"/>
      <c r="T72" s="444">
        <v>6</v>
      </c>
      <c r="U72" s="444"/>
      <c r="V72" s="444"/>
      <c r="W72" s="444"/>
      <c r="X72" s="444"/>
      <c r="Y72" s="444"/>
      <c r="Z72" s="444"/>
      <c r="AA72" s="444"/>
      <c r="AB72" s="444"/>
      <c r="AC72" s="444"/>
      <c r="AD72" s="444"/>
      <c r="AE72" s="444"/>
      <c r="AF72" s="444"/>
      <c r="AG72" s="444"/>
      <c r="AH72" s="444"/>
      <c r="AI72" s="444"/>
      <c r="AJ72" s="444"/>
      <c r="AK72" s="444"/>
      <c r="AL72" s="444"/>
      <c r="AM72" s="444"/>
      <c r="AN72" s="444"/>
      <c r="AO72" s="444"/>
      <c r="AP72" s="444"/>
      <c r="AQ72" s="444"/>
      <c r="AR72" s="444"/>
      <c r="AS72" s="444"/>
      <c r="AT72" s="444"/>
      <c r="AU72" s="444"/>
    </row>
    <row r="73" spans="2:47" x14ac:dyDescent="0.25">
      <c r="B73" s="5"/>
      <c r="C73" s="321"/>
      <c r="D73" s="322"/>
      <c r="E73" s="322"/>
      <c r="F73" s="453"/>
      <c r="G73" s="453"/>
      <c r="H73" s="453"/>
      <c r="I73" s="453"/>
      <c r="J73" s="453"/>
      <c r="K73" s="453"/>
      <c r="L73" s="333"/>
      <c r="M73" s="333"/>
      <c r="N73" s="333"/>
      <c r="O73" s="454"/>
      <c r="P73" s="323"/>
      <c r="Q73" s="323"/>
      <c r="R73" s="320"/>
      <c r="S73" s="15"/>
      <c r="T73" s="444">
        <v>7</v>
      </c>
      <c r="U73" s="444"/>
      <c r="V73" s="444"/>
      <c r="W73" s="444"/>
      <c r="X73" s="444"/>
      <c r="Y73" s="444"/>
      <c r="Z73" s="444"/>
      <c r="AA73" s="444"/>
      <c r="AB73" s="444"/>
      <c r="AC73" s="444"/>
      <c r="AD73" s="444"/>
      <c r="AE73" s="444"/>
      <c r="AF73" s="444"/>
      <c r="AG73" s="444"/>
      <c r="AH73" s="444"/>
      <c r="AI73" s="444"/>
      <c r="AJ73" s="444"/>
      <c r="AK73" s="444"/>
      <c r="AL73" s="444"/>
      <c r="AM73" s="444"/>
      <c r="AN73" s="444"/>
      <c r="AO73" s="444"/>
      <c r="AP73" s="444"/>
      <c r="AQ73" s="444"/>
      <c r="AR73" s="444"/>
      <c r="AS73" s="444"/>
      <c r="AT73" s="444"/>
      <c r="AU73" s="444"/>
    </row>
    <row r="74" spans="2:47" x14ac:dyDescent="0.25">
      <c r="B74" s="5"/>
      <c r="C74" s="290"/>
      <c r="D74" s="364" t="s">
        <v>241</v>
      </c>
      <c r="E74" s="585" t="s">
        <v>242</v>
      </c>
      <c r="F74" s="586"/>
      <c r="G74" s="586"/>
      <c r="H74" s="586"/>
      <c r="I74" s="586"/>
      <c r="J74" s="586"/>
      <c r="K74" s="586"/>
      <c r="L74" s="586"/>
      <c r="M74" s="586"/>
      <c r="N74" s="586"/>
      <c r="O74" s="587"/>
      <c r="P74" s="308"/>
      <c r="Q74" s="308"/>
      <c r="R74" s="320"/>
      <c r="S74" s="15"/>
      <c r="T74" s="444"/>
      <c r="U74" s="444"/>
      <c r="V74" s="444"/>
      <c r="W74" s="444"/>
      <c r="X74" s="444"/>
      <c r="Y74" s="444"/>
      <c r="Z74" s="444"/>
      <c r="AA74" s="444"/>
      <c r="AB74" s="444"/>
      <c r="AC74" s="444"/>
      <c r="AD74" s="444"/>
      <c r="AE74" s="444"/>
      <c r="AF74" s="444"/>
      <c r="AG74" s="444"/>
      <c r="AH74" s="444"/>
      <c r="AI74" s="444"/>
      <c r="AJ74" s="444"/>
      <c r="AK74" s="444"/>
      <c r="AL74" s="444"/>
      <c r="AM74" s="444"/>
      <c r="AN74" s="444"/>
      <c r="AO74" s="444"/>
      <c r="AP74" s="444"/>
      <c r="AQ74" s="444"/>
      <c r="AR74" s="444"/>
      <c r="AS74" s="444"/>
      <c r="AT74" s="444"/>
      <c r="AU74" s="444"/>
    </row>
    <row r="75" spans="2:47" ht="15.75" thickBot="1" x14ac:dyDescent="0.3">
      <c r="B75" s="5"/>
      <c r="C75" s="334"/>
      <c r="D75" s="366"/>
      <c r="E75" s="588"/>
      <c r="F75" s="588"/>
      <c r="G75" s="588"/>
      <c r="H75" s="588"/>
      <c r="I75" s="588"/>
      <c r="J75" s="588"/>
      <c r="K75" s="588"/>
      <c r="L75" s="588"/>
      <c r="M75" s="588"/>
      <c r="N75" s="588"/>
      <c r="O75" s="589"/>
      <c r="P75" s="335"/>
      <c r="Q75" s="335"/>
      <c r="R75" s="336"/>
      <c r="S75" s="15"/>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row>
    <row r="76" spans="2:47" x14ac:dyDescent="0.25">
      <c r="B76" s="5"/>
      <c r="C76" s="6"/>
      <c r="D76" s="58"/>
      <c r="E76" s="58"/>
      <c r="F76" s="58"/>
      <c r="G76" s="58"/>
      <c r="H76" s="6"/>
      <c r="I76" s="6"/>
      <c r="J76" s="6"/>
      <c r="K76" s="10"/>
      <c r="L76" s="10"/>
      <c r="M76" s="10"/>
      <c r="N76" s="10"/>
      <c r="O76" s="10"/>
      <c r="P76" s="10"/>
      <c r="Q76" s="10"/>
      <c r="R76" s="10"/>
      <c r="S76" s="15"/>
      <c r="T76" s="444"/>
      <c r="U76" s="444"/>
      <c r="V76" s="444"/>
      <c r="W76" s="444"/>
      <c r="X76" s="444"/>
      <c r="Y76" s="444"/>
      <c r="Z76" s="444"/>
      <c r="AA76" s="444"/>
      <c r="AB76" s="444"/>
      <c r="AC76" s="444"/>
      <c r="AD76" s="444"/>
      <c r="AE76" s="444"/>
      <c r="AF76" s="444"/>
      <c r="AG76" s="444"/>
      <c r="AH76" s="444"/>
      <c r="AI76" s="444"/>
      <c r="AJ76" s="444"/>
      <c r="AK76" s="444"/>
      <c r="AL76" s="444"/>
      <c r="AM76" s="444"/>
      <c r="AN76" s="444"/>
      <c r="AO76" s="444"/>
      <c r="AP76" s="444"/>
      <c r="AQ76" s="444"/>
      <c r="AR76" s="444"/>
      <c r="AS76" s="444"/>
      <c r="AT76" s="444"/>
      <c r="AU76" s="444"/>
    </row>
    <row r="77" spans="2:47" x14ac:dyDescent="0.25">
      <c r="B77" s="5"/>
      <c r="C77" s="6"/>
      <c r="D77" s="397"/>
      <c r="E77" s="397"/>
      <c r="F77" s="397"/>
      <c r="G77" s="397"/>
      <c r="H77" s="7"/>
      <c r="I77" s="393"/>
      <c r="J77" s="393"/>
      <c r="K77" s="393"/>
      <c r="L77" s="393"/>
      <c r="M77" s="10"/>
      <c r="N77" s="10"/>
      <c r="O77" s="10"/>
      <c r="P77" s="10"/>
      <c r="Q77" s="10"/>
      <c r="R77" s="10"/>
      <c r="S77" s="15"/>
      <c r="T77" s="444"/>
      <c r="U77" s="444"/>
      <c r="V77" s="444"/>
      <c r="W77" s="444"/>
      <c r="X77" s="444"/>
      <c r="Y77" s="444"/>
      <c r="Z77" s="444"/>
      <c r="AA77" s="444"/>
      <c r="AB77" s="444"/>
      <c r="AC77" s="444"/>
      <c r="AD77" s="444"/>
      <c r="AE77" s="444"/>
      <c r="AF77" s="444"/>
      <c r="AG77" s="444"/>
      <c r="AH77" s="444"/>
      <c r="AI77" s="444"/>
      <c r="AJ77" s="444"/>
      <c r="AK77" s="444"/>
      <c r="AL77" s="444"/>
      <c r="AM77" s="444"/>
      <c r="AN77" s="444"/>
      <c r="AO77" s="444"/>
      <c r="AP77" s="444"/>
      <c r="AQ77" s="444"/>
      <c r="AR77" s="444"/>
      <c r="AS77" s="444"/>
      <c r="AT77" s="444"/>
      <c r="AU77" s="444"/>
    </row>
    <row r="78" spans="2:47" x14ac:dyDescent="0.25">
      <c r="B78" s="5"/>
      <c r="C78" s="6"/>
      <c r="D78" s="58"/>
      <c r="E78" s="58"/>
      <c r="F78" s="58"/>
      <c r="G78" s="58"/>
      <c r="H78" s="6"/>
      <c r="I78" s="6"/>
      <c r="J78" s="6"/>
      <c r="K78" s="10"/>
      <c r="L78" s="10"/>
      <c r="M78" s="10"/>
      <c r="N78" s="10"/>
      <c r="O78" s="10"/>
      <c r="P78" s="10"/>
      <c r="Q78" s="10"/>
      <c r="R78" s="10"/>
      <c r="S78" s="15"/>
      <c r="T78" s="444"/>
      <c r="U78" s="444"/>
      <c r="V78" s="444"/>
      <c r="W78" s="444"/>
      <c r="X78" s="444"/>
      <c r="Y78" s="444"/>
      <c r="Z78" s="444"/>
      <c r="AA78" s="444"/>
      <c r="AB78" s="444"/>
      <c r="AC78" s="444"/>
      <c r="AD78" s="444"/>
      <c r="AE78" s="444"/>
      <c r="AF78" s="444"/>
      <c r="AG78" s="444"/>
      <c r="AH78" s="444"/>
      <c r="AI78" s="444"/>
      <c r="AJ78" s="444"/>
      <c r="AK78" s="444"/>
      <c r="AL78" s="444"/>
      <c r="AM78" s="444"/>
      <c r="AN78" s="444"/>
      <c r="AO78" s="444"/>
      <c r="AP78" s="444"/>
      <c r="AQ78" s="444"/>
      <c r="AR78" s="444"/>
      <c r="AS78" s="444"/>
      <c r="AT78" s="444"/>
      <c r="AU78" s="444"/>
    </row>
    <row r="79" spans="2:47" x14ac:dyDescent="0.25">
      <c r="B79" s="5"/>
      <c r="C79" s="6"/>
      <c r="D79" s="58"/>
      <c r="E79" s="58"/>
      <c r="F79" s="58"/>
      <c r="G79" s="58"/>
      <c r="H79" s="6"/>
      <c r="I79" s="6"/>
      <c r="J79" s="6"/>
      <c r="K79" s="10"/>
      <c r="L79" s="10"/>
      <c r="M79" s="10"/>
      <c r="N79" s="10"/>
      <c r="O79" s="10"/>
      <c r="P79" s="10"/>
      <c r="Q79" s="10"/>
      <c r="R79" s="10"/>
      <c r="S79" s="15"/>
      <c r="T79" s="444"/>
      <c r="U79" s="444"/>
      <c r="V79" s="444"/>
      <c r="W79" s="444"/>
      <c r="X79" s="444"/>
      <c r="Y79" s="444"/>
      <c r="Z79" s="444"/>
      <c r="AA79" s="444"/>
      <c r="AB79" s="444"/>
      <c r="AC79" s="444"/>
      <c r="AD79" s="444"/>
      <c r="AE79" s="444"/>
      <c r="AF79" s="444"/>
      <c r="AG79" s="444"/>
      <c r="AH79" s="444"/>
      <c r="AI79" s="444"/>
      <c r="AJ79" s="444"/>
      <c r="AK79" s="444"/>
      <c r="AL79" s="444"/>
      <c r="AM79" s="444"/>
      <c r="AN79" s="444"/>
      <c r="AO79" s="444"/>
      <c r="AP79" s="444"/>
      <c r="AQ79" s="444"/>
      <c r="AR79" s="444"/>
      <c r="AS79" s="444"/>
      <c r="AT79" s="444"/>
      <c r="AU79" s="444"/>
    </row>
    <row r="80" spans="2:47" x14ac:dyDescent="0.25">
      <c r="B80" s="72"/>
      <c r="C80" s="73"/>
      <c r="D80" s="73"/>
      <c r="E80" s="73"/>
      <c r="F80" s="73"/>
      <c r="G80" s="73"/>
      <c r="H80" s="73"/>
      <c r="I80" s="73"/>
      <c r="J80" s="73"/>
      <c r="K80" s="74"/>
      <c r="L80" s="74"/>
      <c r="M80" s="74"/>
      <c r="N80" s="74"/>
      <c r="O80" s="74"/>
      <c r="P80" s="74"/>
      <c r="Q80" s="74"/>
      <c r="R80" s="74"/>
      <c r="S80" s="75"/>
      <c r="T80" s="444"/>
      <c r="U80" s="444"/>
      <c r="V80" s="444"/>
      <c r="W80" s="444"/>
      <c r="X80" s="444"/>
      <c r="Y80" s="444"/>
      <c r="Z80" s="444"/>
      <c r="AA80" s="444"/>
      <c r="AB80" s="444"/>
      <c r="AC80" s="444"/>
      <c r="AD80" s="444"/>
      <c r="AE80" s="444"/>
      <c r="AF80" s="444"/>
      <c r="AG80" s="444"/>
      <c r="AH80" s="444"/>
      <c r="AI80" s="444"/>
      <c r="AJ80" s="444"/>
      <c r="AK80" s="444"/>
      <c r="AL80" s="444"/>
      <c r="AM80" s="444"/>
      <c r="AN80" s="444"/>
      <c r="AO80" s="444"/>
      <c r="AP80" s="444"/>
      <c r="AQ80" s="444"/>
      <c r="AR80" s="444"/>
      <c r="AS80" s="444"/>
      <c r="AT80" s="444"/>
      <c r="AU80" s="444"/>
    </row>
    <row r="81" spans="1:47" x14ac:dyDescent="0.25">
      <c r="T81" s="444"/>
      <c r="U81" s="444"/>
      <c r="V81" s="444"/>
      <c r="W81" s="444"/>
      <c r="X81" s="444"/>
      <c r="Y81" s="444"/>
      <c r="Z81" s="444"/>
      <c r="AA81" s="444"/>
      <c r="AB81" s="444"/>
      <c r="AC81" s="444"/>
      <c r="AD81" s="444"/>
      <c r="AE81" s="444"/>
      <c r="AF81" s="444"/>
      <c r="AG81" s="444"/>
      <c r="AH81" s="444"/>
      <c r="AI81" s="444"/>
      <c r="AJ81" s="444"/>
      <c r="AK81" s="444"/>
      <c r="AL81" s="444"/>
      <c r="AM81" s="444"/>
      <c r="AN81" s="444"/>
      <c r="AO81" s="444"/>
      <c r="AP81" s="444"/>
      <c r="AQ81" s="444"/>
      <c r="AR81" s="444"/>
      <c r="AS81" s="444"/>
      <c r="AT81" s="444"/>
      <c r="AU81" s="444"/>
    </row>
    <row r="82" spans="1:47" x14ac:dyDescent="0.25">
      <c r="T82" s="444"/>
      <c r="U82" s="444"/>
      <c r="V82" s="444"/>
      <c r="W82" s="444"/>
      <c r="X82" s="444"/>
      <c r="Y82" s="444"/>
      <c r="Z82" s="444"/>
      <c r="AA82" s="444"/>
      <c r="AB82" s="444"/>
      <c r="AC82" s="444"/>
      <c r="AD82" s="444"/>
      <c r="AE82" s="444"/>
      <c r="AF82" s="444"/>
      <c r="AG82" s="444"/>
      <c r="AH82" s="444"/>
      <c r="AI82" s="444"/>
      <c r="AJ82" s="444"/>
      <c r="AK82" s="444"/>
      <c r="AL82" s="444"/>
      <c r="AM82" s="444"/>
      <c r="AN82" s="444"/>
      <c r="AO82" s="444"/>
      <c r="AP82" s="444"/>
      <c r="AQ82" s="444"/>
      <c r="AR82" s="444"/>
      <c r="AS82" s="444"/>
      <c r="AT82" s="444"/>
      <c r="AU82" s="444"/>
    </row>
    <row r="83" spans="1:47" x14ac:dyDescent="0.25">
      <c r="A83" s="444"/>
      <c r="B83" s="444"/>
      <c r="C83" s="444"/>
      <c r="D83" s="444"/>
      <c r="E83" s="444"/>
      <c r="F83" s="444"/>
      <c r="G83" s="444"/>
      <c r="H83" s="444"/>
      <c r="I83" s="444"/>
      <c r="T83" s="444"/>
      <c r="U83" s="444"/>
      <c r="V83" s="444"/>
      <c r="W83" s="444"/>
      <c r="X83" s="444"/>
      <c r="Y83" s="444"/>
      <c r="Z83" s="444"/>
      <c r="AA83" s="444"/>
      <c r="AB83" s="444"/>
      <c r="AC83" s="444"/>
      <c r="AD83" s="444"/>
      <c r="AE83" s="444"/>
      <c r="AF83" s="444"/>
      <c r="AG83" s="444"/>
      <c r="AH83" s="444"/>
      <c r="AI83" s="444"/>
      <c r="AJ83" s="444"/>
      <c r="AK83" s="444"/>
      <c r="AL83" s="444"/>
      <c r="AM83" s="444"/>
      <c r="AN83" s="444"/>
      <c r="AO83" s="444"/>
      <c r="AP83" s="444"/>
      <c r="AQ83" s="444"/>
      <c r="AR83" s="444"/>
      <c r="AS83" s="444"/>
      <c r="AT83" s="444"/>
      <c r="AU83" s="444"/>
    </row>
    <row r="84" spans="1:47" x14ac:dyDescent="0.25">
      <c r="A84" s="444"/>
      <c r="B84" s="444" t="s">
        <v>266</v>
      </c>
      <c r="C84" s="444"/>
      <c r="D84" s="444" t="s">
        <v>267</v>
      </c>
      <c r="E84" s="444"/>
      <c r="F84" s="444" t="s">
        <v>268</v>
      </c>
      <c r="G84" s="444">
        <f>K68*G64/1000000</f>
        <v>0</v>
      </c>
      <c r="H84" s="444"/>
      <c r="I84" s="444"/>
      <c r="T84" s="444"/>
      <c r="U84" s="444"/>
      <c r="V84" s="444"/>
      <c r="W84" s="444"/>
      <c r="X84" s="444"/>
      <c r="Y84" s="444"/>
      <c r="Z84" s="444"/>
      <c r="AA84" s="444"/>
      <c r="AB84" s="444"/>
      <c r="AC84" s="444"/>
      <c r="AD84" s="444"/>
      <c r="AE84" s="444"/>
      <c r="AF84" s="444"/>
      <c r="AG84" s="444"/>
      <c r="AH84" s="444"/>
      <c r="AI84" s="444"/>
      <c r="AJ84" s="444"/>
      <c r="AK84" s="444"/>
      <c r="AL84" s="444"/>
      <c r="AM84" s="444"/>
      <c r="AN84" s="444"/>
      <c r="AO84" s="444"/>
      <c r="AP84" s="444"/>
      <c r="AQ84" s="444"/>
      <c r="AR84" s="444"/>
      <c r="AS84" s="444"/>
      <c r="AT84" s="444"/>
      <c r="AU84" s="444"/>
    </row>
    <row r="85" spans="1:47" x14ac:dyDescent="0.25">
      <c r="A85" s="444">
        <v>1</v>
      </c>
      <c r="B85" s="444">
        <v>400</v>
      </c>
      <c r="C85" s="444"/>
      <c r="D85" s="444">
        <v>336</v>
      </c>
      <c r="E85" s="444"/>
      <c r="F85" s="444" t="s">
        <v>269</v>
      </c>
      <c r="G85" s="444">
        <f>Q43*G84*1000</f>
        <v>0</v>
      </c>
      <c r="H85" s="444"/>
      <c r="I85" s="444"/>
      <c r="T85" s="444"/>
      <c r="U85" s="444"/>
      <c r="V85" s="444"/>
      <c r="W85" s="444"/>
      <c r="X85" s="444"/>
      <c r="Y85" s="444"/>
      <c r="Z85" s="444"/>
      <c r="AA85" s="444"/>
      <c r="AB85" s="444"/>
      <c r="AC85" s="444"/>
      <c r="AD85" s="444"/>
      <c r="AE85" s="444"/>
      <c r="AF85" s="444"/>
      <c r="AG85" s="444"/>
      <c r="AH85" s="444"/>
      <c r="AI85" s="444"/>
      <c r="AJ85" s="444"/>
      <c r="AK85" s="444"/>
      <c r="AL85" s="444"/>
      <c r="AM85" s="444"/>
      <c r="AN85" s="444"/>
      <c r="AO85" s="444"/>
      <c r="AP85" s="444"/>
      <c r="AQ85" s="444"/>
      <c r="AR85" s="444"/>
      <c r="AS85" s="444"/>
      <c r="AT85" s="444"/>
      <c r="AU85" s="444"/>
    </row>
    <row r="86" spans="1:47" x14ac:dyDescent="0.25">
      <c r="A86" s="444">
        <v>2</v>
      </c>
      <c r="B86" s="444">
        <v>600</v>
      </c>
      <c r="C86" s="444"/>
      <c r="D86" s="444">
        <v>506</v>
      </c>
      <c r="E86" s="444"/>
      <c r="F86" s="444" t="s">
        <v>270</v>
      </c>
      <c r="G86" s="444">
        <f>G85*K68/2000</f>
        <v>0</v>
      </c>
      <c r="H86" s="444"/>
      <c r="I86" s="444"/>
      <c r="T86" s="444"/>
      <c r="U86" s="444"/>
      <c r="V86" s="444"/>
      <c r="W86" s="444"/>
      <c r="X86" s="444"/>
      <c r="Y86" s="444"/>
      <c r="Z86" s="444"/>
      <c r="AA86" s="444"/>
      <c r="AB86" s="444"/>
      <c r="AC86" s="444"/>
      <c r="AD86" s="444"/>
      <c r="AE86" s="444"/>
      <c r="AF86" s="444"/>
      <c r="AG86" s="444"/>
      <c r="AH86" s="444"/>
      <c r="AI86" s="444"/>
      <c r="AJ86" s="444"/>
      <c r="AK86" s="444"/>
      <c r="AL86" s="444"/>
      <c r="AM86" s="444"/>
      <c r="AN86" s="444"/>
      <c r="AO86" s="444"/>
      <c r="AP86" s="444"/>
      <c r="AQ86" s="444"/>
      <c r="AR86" s="444"/>
      <c r="AS86" s="444"/>
      <c r="AT86" s="444"/>
      <c r="AU86" s="444"/>
    </row>
    <row r="87" spans="1:47" x14ac:dyDescent="0.25">
      <c r="A87" s="444">
        <v>3</v>
      </c>
      <c r="B87" s="444">
        <v>800</v>
      </c>
      <c r="C87" s="444"/>
      <c r="D87" s="444">
        <v>676</v>
      </c>
      <c r="E87" s="444"/>
      <c r="F87" s="444" t="s">
        <v>271</v>
      </c>
      <c r="G87" s="444">
        <f>IF(L64&gt;G47/2,L64,G47-L64)/1000</f>
        <v>0</v>
      </c>
      <c r="H87" s="444"/>
      <c r="I87" s="444"/>
      <c r="T87" s="444"/>
      <c r="U87" s="444"/>
      <c r="V87" s="444"/>
      <c r="W87" s="444"/>
      <c r="X87" s="444"/>
      <c r="Y87" s="444"/>
      <c r="Z87" s="444"/>
      <c r="AA87" s="444"/>
      <c r="AB87" s="444"/>
      <c r="AC87" s="444"/>
      <c r="AD87" s="444"/>
      <c r="AE87" s="444"/>
      <c r="AF87" s="444"/>
      <c r="AG87" s="444"/>
      <c r="AH87" s="444"/>
      <c r="AI87" s="444"/>
      <c r="AJ87" s="444"/>
      <c r="AK87" s="444"/>
      <c r="AL87" s="444"/>
      <c r="AM87" s="444"/>
      <c r="AN87" s="444"/>
      <c r="AO87" s="444"/>
      <c r="AP87" s="444"/>
      <c r="AQ87" s="444"/>
      <c r="AR87" s="444"/>
      <c r="AS87" s="444"/>
      <c r="AT87" s="444"/>
      <c r="AU87" s="444"/>
    </row>
    <row r="88" spans="1:47" x14ac:dyDescent="0.25">
      <c r="A88" s="444">
        <v>4</v>
      </c>
      <c r="B88" s="444">
        <v>1000</v>
      </c>
      <c r="C88" s="444"/>
      <c r="D88" s="444">
        <v>846</v>
      </c>
      <c r="E88" s="444"/>
      <c r="F88" s="444" t="s">
        <v>272</v>
      </c>
      <c r="G88" s="444">
        <f>G47/1000</f>
        <v>0</v>
      </c>
      <c r="H88" s="444"/>
      <c r="I88" s="444"/>
    </row>
    <row r="89" spans="1:47" x14ac:dyDescent="0.25">
      <c r="A89" s="444">
        <v>5</v>
      </c>
      <c r="B89" s="444">
        <v>1200</v>
      </c>
      <c r="C89" s="444"/>
      <c r="D89" s="444">
        <v>1016</v>
      </c>
      <c r="E89" s="444"/>
      <c r="F89" s="444" t="s">
        <v>273</v>
      </c>
      <c r="G89" s="444">
        <f>((6*G88*G87-2*G88^2-3*G87^2)/3)^(1/2)</f>
        <v>0</v>
      </c>
      <c r="H89" s="444"/>
      <c r="I89" s="444"/>
    </row>
    <row r="90" spans="1:47" x14ac:dyDescent="0.25">
      <c r="A90" s="444">
        <v>6</v>
      </c>
      <c r="B90" s="444">
        <v>1400</v>
      </c>
      <c r="C90" s="444"/>
      <c r="D90" s="444">
        <v>1356</v>
      </c>
      <c r="E90" s="444"/>
      <c r="F90" s="444" t="s">
        <v>274</v>
      </c>
      <c r="G90" s="444" t="e">
        <f>((ABS((-G86*G89^3+G86*G89*6*G88*G87-2*G88^2*G86*G89-3*G87^2*G86*G89)/(6*G88))))/(W8*W7)</f>
        <v>#DIV/0!</v>
      </c>
      <c r="H90" s="444"/>
      <c r="I90" s="444"/>
    </row>
    <row r="91" spans="1:47" x14ac:dyDescent="0.25">
      <c r="A91" s="444">
        <v>7</v>
      </c>
      <c r="B91" s="444">
        <v>1600</v>
      </c>
      <c r="C91" s="444"/>
      <c r="D91" s="444">
        <v>1526</v>
      </c>
      <c r="E91" s="444"/>
      <c r="F91" s="444" t="s">
        <v>274</v>
      </c>
      <c r="G91" s="444" t="e">
        <f>G90*100000000</f>
        <v>#DIV/0!</v>
      </c>
      <c r="H91" s="444"/>
      <c r="I91" s="444"/>
    </row>
    <row r="92" spans="1:47" x14ac:dyDescent="0.25">
      <c r="A92" s="444"/>
      <c r="B92" s="444"/>
      <c r="C92" s="444"/>
      <c r="D92" s="444"/>
      <c r="E92" s="444"/>
      <c r="F92" s="444" t="s">
        <v>346</v>
      </c>
      <c r="G92" s="444" t="e">
        <f>G91+W19</f>
        <v>#DIV/0!</v>
      </c>
      <c r="H92" s="444"/>
      <c r="I92" s="444"/>
    </row>
    <row r="93" spans="1:47" x14ac:dyDescent="0.25">
      <c r="A93" s="444"/>
      <c r="B93" s="444">
        <f>IF(G68=1,B85,IF(G68=2,B86,IF(G68=3,B87,IF(G68=4,B88,IF(G68=5,B89,IF(G68=6,B90,B91))))))</f>
        <v>400</v>
      </c>
      <c r="C93" s="444"/>
      <c r="D93" s="444">
        <f>IF(G68=1,D85,IF(G68=2,D86,IF(G68=3,D87,IF(G68=4,D88,IF(G68=5,D89,IF(G68=6,D90,D91))))))</f>
        <v>336</v>
      </c>
      <c r="E93" s="444"/>
      <c r="F93" s="444"/>
      <c r="G93" s="444"/>
      <c r="H93" s="444"/>
      <c r="I93" s="444"/>
    </row>
    <row r="94" spans="1:47" x14ac:dyDescent="0.25">
      <c r="A94" s="444"/>
      <c r="B94" s="444"/>
      <c r="C94" s="444"/>
      <c r="D94" s="444"/>
      <c r="E94" s="444"/>
      <c r="F94" s="444"/>
      <c r="G94" s="444"/>
      <c r="H94" s="444"/>
      <c r="I94" s="444"/>
    </row>
    <row r="95" spans="1:47" x14ac:dyDescent="0.25">
      <c r="A95" s="444"/>
      <c r="B95" s="444">
        <f>IF(G66=150,D93,B93)</f>
        <v>336</v>
      </c>
      <c r="C95" s="444"/>
      <c r="D95" s="444"/>
      <c r="E95" s="444"/>
      <c r="F95" s="444"/>
      <c r="G95" s="444"/>
      <c r="H95" s="444"/>
      <c r="I95" s="444"/>
    </row>
    <row r="96" spans="1:47" x14ac:dyDescent="0.25">
      <c r="A96" s="444"/>
      <c r="B96" s="444"/>
      <c r="C96" s="444"/>
      <c r="D96" s="444"/>
      <c r="E96" s="444"/>
      <c r="F96" s="444"/>
      <c r="G96" s="444"/>
      <c r="H96" s="444"/>
      <c r="I96" s="444"/>
    </row>
    <row r="97" spans="1:9" x14ac:dyDescent="0.25">
      <c r="A97" s="444"/>
      <c r="B97" s="444"/>
      <c r="C97" s="444"/>
      <c r="D97" s="444"/>
      <c r="E97" s="444"/>
      <c r="F97" s="444"/>
      <c r="G97" s="444"/>
      <c r="H97" s="444"/>
      <c r="I97" s="444"/>
    </row>
    <row r="98" spans="1:9" x14ac:dyDescent="0.25">
      <c r="A98" s="444"/>
      <c r="B98" s="444"/>
      <c r="C98" s="444"/>
      <c r="D98" s="444"/>
      <c r="E98" s="444"/>
      <c r="F98" s="444"/>
      <c r="G98" s="444"/>
      <c r="H98" s="444"/>
      <c r="I98" s="444"/>
    </row>
    <row r="99" spans="1:9" x14ac:dyDescent="0.25">
      <c r="A99" s="444"/>
      <c r="B99" s="444"/>
      <c r="C99" s="444"/>
      <c r="D99" s="444"/>
      <c r="E99" s="444"/>
      <c r="F99" s="444"/>
      <c r="G99" s="444"/>
      <c r="H99" s="444"/>
      <c r="I99" s="444"/>
    </row>
  </sheetData>
  <sheetProtection algorithmName="SHA-512" hashValue="Bnh8CgM46hTnggg6BlGUgvTyN3HvchyV/Ybzjc+uLIrqYO+RwocdbYoFEn1HB0dXmXp1zYAvWVaeufMqht4ckg==" saltValue="vJq7nPth+Q7JGfv1XGZeRw==" spinCount="100000" sheet="1" objects="1" scenarios="1"/>
  <mergeCells count="18">
    <mergeCell ref="C62:R62"/>
    <mergeCell ref="L66:N66"/>
    <mergeCell ref="L68:N68"/>
    <mergeCell ref="E74:O75"/>
    <mergeCell ref="D70:F70"/>
    <mergeCell ref="D71:F71"/>
    <mergeCell ref="K39:N39"/>
    <mergeCell ref="G41:I41"/>
    <mergeCell ref="K46:N46"/>
    <mergeCell ref="P46:R46"/>
    <mergeCell ref="G49:I49"/>
    <mergeCell ref="K49:M49"/>
    <mergeCell ref="E12:H12"/>
    <mergeCell ref="J12:K12"/>
    <mergeCell ref="M12:P12"/>
    <mergeCell ref="E13:H13"/>
    <mergeCell ref="J13:K13"/>
    <mergeCell ref="O13:P13"/>
  </mergeCells>
  <dataValidations count="7">
    <dataValidation type="list" allowBlank="1" showInputMessage="1" showErrorMessage="1" sqref="G68">
      <formula1>$T$67:$T$73</formula1>
    </dataValidation>
    <dataValidation type="list" allowBlank="1" showInputMessage="1" showErrorMessage="1" sqref="G66">
      <formula1>$T$64:$T$65</formula1>
    </dataValidation>
    <dataValidation type="list" allowBlank="1" showInputMessage="1" showErrorMessage="1" sqref="P46:R46 L66:N66">
      <formula1>$U$34:$U$35</formula1>
    </dataValidation>
    <dataValidation type="list" allowBlank="1" showInputMessage="1" showErrorMessage="1" sqref="K39:N39">
      <formula1>$U$50:$U$52</formula1>
    </dataValidation>
    <dataValidation type="list" allowBlank="1" showInputMessage="1" showErrorMessage="1" sqref="K46:N46">
      <formula1>$AF$1:$AF$2</formula1>
    </dataValidation>
    <dataValidation type="list" allowBlank="1" showInputMessage="1" showErrorMessage="1" sqref="G49:I49">
      <formula1>$U$47:$U$48</formula1>
    </dataValidation>
    <dataValidation type="list" allowBlank="1" showInputMessage="1" showErrorMessage="1" sqref="G41:I41">
      <formula1>$U$44:$U$45</formula1>
    </dataValidation>
  </dataValidation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X109"/>
  <sheetViews>
    <sheetView zoomScaleNormal="100" workbookViewId="0">
      <selection activeCell="Q17" sqref="Q17"/>
    </sheetView>
  </sheetViews>
  <sheetFormatPr defaultRowHeight="15" x14ac:dyDescent="0.25"/>
  <cols>
    <col min="2" max="19" width="9.140625" customWidth="1"/>
    <col min="20" max="22" width="9.140625" style="234"/>
    <col min="23" max="23" width="12" style="234" bestFit="1" customWidth="1"/>
    <col min="24" max="24" width="9.140625" style="234"/>
    <col min="25" max="27" width="12" style="234" bestFit="1" customWidth="1"/>
    <col min="28" max="29" width="9.140625" style="234"/>
    <col min="30" max="30" width="12" style="234" bestFit="1" customWidth="1"/>
    <col min="31" max="31" width="9.140625" style="234"/>
    <col min="32" max="32" width="12" style="234" bestFit="1" customWidth="1"/>
    <col min="33" max="33" width="9.140625" style="234"/>
    <col min="34" max="34" width="16.85546875" style="234" bestFit="1" customWidth="1"/>
    <col min="35" max="35" width="35.7109375" style="234" bestFit="1" customWidth="1"/>
    <col min="36" max="36" width="9" style="234" bestFit="1" customWidth="1"/>
    <col min="37" max="37" width="8" style="234" bestFit="1" customWidth="1"/>
    <col min="38" max="38" width="9.140625" style="234"/>
    <col min="39" max="39" width="7.42578125" style="234" bestFit="1" customWidth="1"/>
    <col min="40" max="40" width="9.140625" style="234" customWidth="1"/>
    <col min="41" max="41" width="7.42578125" style="234" bestFit="1" customWidth="1"/>
    <col min="42" max="42" width="25" style="234" bestFit="1" customWidth="1"/>
    <col min="43" max="43" width="7.7109375" style="234" customWidth="1"/>
    <col min="44" max="47" width="9.140625" style="234"/>
  </cols>
  <sheetData>
    <row r="1" spans="2:50" x14ac:dyDescent="0.25">
      <c r="T1" s="444"/>
      <c r="U1" s="444"/>
      <c r="V1" s="444" t="s">
        <v>24</v>
      </c>
      <c r="W1" s="444">
        <f>G37*1000</f>
        <v>0</v>
      </c>
      <c r="X1" s="444"/>
      <c r="Y1" s="444" t="s">
        <v>318</v>
      </c>
      <c r="Z1" s="444">
        <f>O39*PI()/180</f>
        <v>1.5707963267948966</v>
      </c>
      <c r="AA1" s="444"/>
      <c r="AB1" s="444"/>
      <c r="AC1" s="444"/>
      <c r="AD1" s="444"/>
      <c r="AE1" s="444">
        <v>1</v>
      </c>
      <c r="AF1" s="444" t="s">
        <v>244</v>
      </c>
      <c r="AG1" s="444"/>
      <c r="AH1" s="444">
        <v>1</v>
      </c>
      <c r="AI1" s="444">
        <v>70000000000</v>
      </c>
      <c r="AJ1" s="444"/>
      <c r="AK1" s="444"/>
      <c r="AL1" s="444"/>
      <c r="AM1" s="444"/>
      <c r="AN1" s="444"/>
      <c r="AO1" s="444">
        <v>2</v>
      </c>
      <c r="AP1" s="444">
        <v>70000000000</v>
      </c>
      <c r="AQ1" s="444"/>
      <c r="AR1" s="444"/>
      <c r="AS1" s="444"/>
      <c r="AT1" s="444"/>
      <c r="AU1" s="444"/>
      <c r="AV1" s="444"/>
      <c r="AW1" s="444"/>
      <c r="AX1" s="444"/>
    </row>
    <row r="2" spans="2:50" x14ac:dyDescent="0.25">
      <c r="B2" s="337"/>
      <c r="C2" s="338"/>
      <c r="D2" s="338"/>
      <c r="E2" s="338"/>
      <c r="F2" s="338"/>
      <c r="G2" s="338"/>
      <c r="H2" s="338"/>
      <c r="I2" s="338"/>
      <c r="J2" s="338"/>
      <c r="K2" s="338"/>
      <c r="L2" s="338"/>
      <c r="M2" s="338"/>
      <c r="N2" s="338"/>
      <c r="O2" s="338"/>
      <c r="P2" s="338"/>
      <c r="Q2" s="338"/>
      <c r="R2" s="338"/>
      <c r="S2" s="339"/>
      <c r="T2" s="444"/>
      <c r="U2" s="444"/>
      <c r="V2" s="444" t="s">
        <v>3</v>
      </c>
      <c r="W2" s="444">
        <f>Q41*1000</f>
        <v>0</v>
      </c>
      <c r="X2" s="444"/>
      <c r="Y2" s="444"/>
      <c r="Z2" s="444"/>
      <c r="AA2" s="444"/>
      <c r="AB2" s="444"/>
      <c r="AC2" s="444"/>
      <c r="AD2" s="444"/>
      <c r="AE2" s="444">
        <v>2</v>
      </c>
      <c r="AF2" s="444" t="s">
        <v>245</v>
      </c>
      <c r="AG2" s="444"/>
      <c r="AH2" s="445" t="s">
        <v>248</v>
      </c>
      <c r="AI2" s="446" t="s">
        <v>248</v>
      </c>
      <c r="AJ2" s="445">
        <v>41.94</v>
      </c>
      <c r="AK2" s="29">
        <v>0</v>
      </c>
      <c r="AL2" s="444">
        <f t="shared" ref="AL2:AL13" si="0">AJ2+AK2</f>
        <v>41.94</v>
      </c>
      <c r="AM2" s="444"/>
      <c r="AN2" s="444"/>
      <c r="AO2" s="445" t="s">
        <v>263</v>
      </c>
      <c r="AP2" s="446" t="s">
        <v>262</v>
      </c>
      <c r="AQ2" s="445">
        <v>818</v>
      </c>
      <c r="AR2" s="29">
        <v>385.6</v>
      </c>
      <c r="AS2" s="444">
        <f>AQ2+AR2</f>
        <v>1203.5999999999999</v>
      </c>
      <c r="AT2" s="444"/>
      <c r="AU2" s="444"/>
      <c r="AV2" s="444"/>
      <c r="AW2" s="444"/>
      <c r="AX2" s="444"/>
    </row>
    <row r="3" spans="2:50" x14ac:dyDescent="0.25">
      <c r="B3" s="9"/>
      <c r="C3" s="10"/>
      <c r="D3" s="10"/>
      <c r="E3" s="10"/>
      <c r="F3" s="10"/>
      <c r="G3" s="10"/>
      <c r="H3" s="10"/>
      <c r="I3" s="10"/>
      <c r="J3" s="10"/>
      <c r="K3" s="10"/>
      <c r="L3" s="10"/>
      <c r="M3" s="10"/>
      <c r="N3" s="10"/>
      <c r="O3" s="10"/>
      <c r="P3" s="10"/>
      <c r="Q3" s="11"/>
      <c r="R3" s="11"/>
      <c r="S3" s="8"/>
      <c r="T3" s="444"/>
      <c r="U3" s="444"/>
      <c r="V3" s="444" t="s">
        <v>0</v>
      </c>
      <c r="W3" s="444">
        <f>G41/1000</f>
        <v>0</v>
      </c>
      <c r="X3" s="444"/>
      <c r="Y3" s="444"/>
      <c r="Z3" s="444"/>
      <c r="AA3" s="444"/>
      <c r="AB3" s="444"/>
      <c r="AC3" s="444"/>
      <c r="AD3" s="444"/>
      <c r="AE3" s="444"/>
      <c r="AF3" s="444"/>
      <c r="AG3" s="444"/>
      <c r="AH3" s="445" t="s">
        <v>363</v>
      </c>
      <c r="AI3" s="445" t="s">
        <v>367</v>
      </c>
      <c r="AJ3" s="445">
        <v>68.849999999999994</v>
      </c>
      <c r="AK3" s="29">
        <v>18.54</v>
      </c>
      <c r="AL3" s="444">
        <f t="shared" si="0"/>
        <v>87.389999999999986</v>
      </c>
      <c r="AM3" s="444"/>
      <c r="AN3" s="444"/>
      <c r="AO3" s="444"/>
      <c r="AP3" s="444"/>
      <c r="AQ3" s="444"/>
      <c r="AR3" s="444"/>
      <c r="AS3" s="444"/>
      <c r="AT3" s="444"/>
      <c r="AU3" s="444"/>
      <c r="AV3" s="444"/>
      <c r="AW3" s="444"/>
      <c r="AX3" s="444"/>
    </row>
    <row r="4" spans="2:50" x14ac:dyDescent="0.25">
      <c r="B4" s="9"/>
      <c r="C4" s="10"/>
      <c r="D4" s="10"/>
      <c r="E4" s="11"/>
      <c r="F4" s="11"/>
      <c r="G4" s="11"/>
      <c r="H4" s="11"/>
      <c r="I4" s="11"/>
      <c r="J4" s="11"/>
      <c r="K4" s="11"/>
      <c r="L4" s="11"/>
      <c r="M4" s="11"/>
      <c r="N4" s="11"/>
      <c r="O4" s="11"/>
      <c r="P4" s="11"/>
      <c r="Q4" s="11"/>
      <c r="R4" s="11"/>
      <c r="S4" s="8"/>
      <c r="T4" s="444"/>
      <c r="U4" s="444"/>
      <c r="V4" s="444" t="s">
        <v>1</v>
      </c>
      <c r="W4" s="444">
        <f>G43/1000</f>
        <v>0</v>
      </c>
      <c r="X4" s="444"/>
      <c r="Y4" s="444"/>
      <c r="Z4" s="444"/>
      <c r="AA4" s="444"/>
      <c r="AB4" s="444"/>
      <c r="AC4" s="444"/>
      <c r="AD4" s="444"/>
      <c r="AE4" s="444"/>
      <c r="AF4" s="444"/>
      <c r="AG4" s="444"/>
      <c r="AH4" s="445" t="s">
        <v>250</v>
      </c>
      <c r="AI4" s="446" t="s">
        <v>249</v>
      </c>
      <c r="AJ4" s="445">
        <v>92.5</v>
      </c>
      <c r="AK4" s="29">
        <v>18.54</v>
      </c>
      <c r="AL4" s="444">
        <f t="shared" si="0"/>
        <v>111.03999999999999</v>
      </c>
      <c r="AM4" s="444"/>
      <c r="AN4" s="444"/>
      <c r="AO4" s="444"/>
      <c r="AP4" s="444"/>
      <c r="AQ4" s="444"/>
      <c r="AR4" s="444"/>
      <c r="AS4" s="444"/>
      <c r="AT4" s="444"/>
      <c r="AU4" s="444"/>
      <c r="AV4" s="444"/>
      <c r="AW4" s="444"/>
      <c r="AX4" s="444"/>
    </row>
    <row r="5" spans="2:50" x14ac:dyDescent="0.25">
      <c r="B5" s="9"/>
      <c r="C5" s="10"/>
      <c r="D5" s="10"/>
      <c r="E5" s="11"/>
      <c r="F5" s="11"/>
      <c r="G5" s="11"/>
      <c r="H5" s="11"/>
      <c r="I5" s="11"/>
      <c r="J5" s="11"/>
      <c r="K5" s="11"/>
      <c r="L5" s="11"/>
      <c r="M5" s="11"/>
      <c r="N5" s="11"/>
      <c r="O5" s="11"/>
      <c r="P5" s="11"/>
      <c r="Q5" s="11"/>
      <c r="R5" s="11"/>
      <c r="S5" s="8"/>
      <c r="T5" s="444"/>
      <c r="U5" s="444"/>
      <c r="V5" s="444" t="s">
        <v>2</v>
      </c>
      <c r="W5" s="444">
        <f>G45/1000</f>
        <v>0</v>
      </c>
      <c r="X5" s="444"/>
      <c r="Y5" s="444"/>
      <c r="Z5" s="444"/>
      <c r="AA5" s="444"/>
      <c r="AB5" s="444"/>
      <c r="AC5" s="444"/>
      <c r="AD5" s="444"/>
      <c r="AE5" s="444"/>
      <c r="AF5" s="444"/>
      <c r="AG5" s="444"/>
      <c r="AH5" s="445" t="s">
        <v>364</v>
      </c>
      <c r="AI5" s="445" t="s">
        <v>368</v>
      </c>
      <c r="AJ5" s="445">
        <v>126.95</v>
      </c>
      <c r="AK5" s="29">
        <v>53.27</v>
      </c>
      <c r="AL5" s="444">
        <f t="shared" si="0"/>
        <v>180.22</v>
      </c>
      <c r="AM5" s="444"/>
      <c r="AN5" s="444"/>
      <c r="AO5" s="444"/>
      <c r="AP5" s="444"/>
      <c r="AQ5" s="444"/>
      <c r="AR5" s="444"/>
      <c r="AS5" s="444"/>
      <c r="AT5" s="444"/>
      <c r="AU5" s="444"/>
      <c r="AV5" s="444"/>
      <c r="AW5" s="444"/>
      <c r="AX5" s="444"/>
    </row>
    <row r="6" spans="2:50" x14ac:dyDescent="0.25">
      <c r="B6" s="9"/>
      <c r="C6" s="10"/>
      <c r="D6" s="10"/>
      <c r="E6" s="11"/>
      <c r="F6" s="11"/>
      <c r="G6" s="11"/>
      <c r="H6" s="11"/>
      <c r="I6" s="11"/>
      <c r="J6" s="11"/>
      <c r="K6" s="11"/>
      <c r="L6" s="11"/>
      <c r="M6" s="10"/>
      <c r="N6" s="6"/>
      <c r="O6" s="10"/>
      <c r="P6" s="10"/>
      <c r="Q6" s="10"/>
      <c r="R6" s="10"/>
      <c r="S6" s="15"/>
      <c r="T6" s="444"/>
      <c r="U6" s="444"/>
      <c r="V6" s="444" t="s">
        <v>213</v>
      </c>
      <c r="W6" s="444">
        <f>G47/1000</f>
        <v>0</v>
      </c>
      <c r="X6" s="444"/>
      <c r="Y6" s="444"/>
      <c r="Z6" s="444"/>
      <c r="AA6" s="444"/>
      <c r="AB6" s="444"/>
      <c r="AC6" s="444"/>
      <c r="AD6" s="444"/>
      <c r="AE6" s="444"/>
      <c r="AF6" s="444">
        <f>IF(K44=AF1,1,2)</f>
        <v>1</v>
      </c>
      <c r="AG6" s="444">
        <f>IF(P44=U34,1,2)</f>
        <v>1</v>
      </c>
      <c r="AH6" s="445" t="s">
        <v>252</v>
      </c>
      <c r="AI6" s="446" t="s">
        <v>251</v>
      </c>
      <c r="AJ6" s="445">
        <v>170.1</v>
      </c>
      <c r="AK6" s="29">
        <v>53.27</v>
      </c>
      <c r="AL6" s="444">
        <f t="shared" si="0"/>
        <v>223.37</v>
      </c>
      <c r="AM6" s="444"/>
      <c r="AN6" s="444"/>
      <c r="AO6" s="444"/>
      <c r="AP6" s="444"/>
      <c r="AQ6" s="444"/>
      <c r="AR6" s="444"/>
      <c r="AS6" s="444"/>
      <c r="AT6" s="444"/>
      <c r="AU6" s="444"/>
      <c r="AV6" s="444"/>
      <c r="AW6" s="444"/>
      <c r="AX6" s="444"/>
    </row>
    <row r="7" spans="2:50" x14ac:dyDescent="0.25">
      <c r="B7" s="9"/>
      <c r="C7" s="10"/>
      <c r="D7" s="10"/>
      <c r="E7" s="11"/>
      <c r="F7" s="11"/>
      <c r="G7" s="11"/>
      <c r="H7" s="11"/>
      <c r="I7" s="11"/>
      <c r="J7" s="11"/>
      <c r="K7" s="11"/>
      <c r="L7" s="11"/>
      <c r="M7" s="10"/>
      <c r="N7" s="6"/>
      <c r="O7" s="10"/>
      <c r="P7" s="10"/>
      <c r="Q7" s="10"/>
      <c r="R7" s="10"/>
      <c r="S7" s="15"/>
      <c r="T7" s="444"/>
      <c r="U7" s="444"/>
      <c r="V7" s="444" t="s">
        <v>347</v>
      </c>
      <c r="W7" s="444">
        <f>IF(W5&gt;W6,W5,W6)</f>
        <v>0</v>
      </c>
      <c r="X7" s="444" t="s">
        <v>272</v>
      </c>
      <c r="Y7" s="444">
        <f>2*W7</f>
        <v>0</v>
      </c>
      <c r="Z7" s="444"/>
      <c r="AA7" s="444"/>
      <c r="AB7" s="444"/>
      <c r="AC7" s="444"/>
      <c r="AD7" s="444"/>
      <c r="AE7" s="444"/>
      <c r="AF7" s="444"/>
      <c r="AG7" s="444"/>
      <c r="AH7" s="445" t="s">
        <v>365</v>
      </c>
      <c r="AI7" s="445" t="s">
        <v>369</v>
      </c>
      <c r="AJ7" s="445">
        <v>221.31</v>
      </c>
      <c r="AK7" s="29">
        <v>111.67</v>
      </c>
      <c r="AL7" s="444">
        <f t="shared" si="0"/>
        <v>332.98</v>
      </c>
      <c r="AM7" s="444"/>
      <c r="AN7" s="444"/>
      <c r="AO7" s="444"/>
      <c r="AP7" s="444"/>
      <c r="AQ7" s="444"/>
      <c r="AR7" s="444"/>
      <c r="AS7" s="444"/>
      <c r="AT7" s="444"/>
      <c r="AU7" s="444"/>
      <c r="AV7" s="444"/>
      <c r="AW7" s="444"/>
      <c r="AX7" s="444"/>
    </row>
    <row r="8" spans="2:50" x14ac:dyDescent="0.25">
      <c r="B8" s="9"/>
      <c r="C8" s="10"/>
      <c r="D8" s="10"/>
      <c r="E8" s="33"/>
      <c r="F8" s="76"/>
      <c r="G8" s="76"/>
      <c r="H8" s="76"/>
      <c r="I8" s="76"/>
      <c r="J8" s="76"/>
      <c r="K8" s="76"/>
      <c r="L8" s="76"/>
      <c r="M8" s="10"/>
      <c r="N8" s="6"/>
      <c r="O8" s="10"/>
      <c r="P8" s="10"/>
      <c r="Q8" s="10"/>
      <c r="R8" s="10"/>
      <c r="S8" s="15"/>
      <c r="T8" s="444"/>
      <c r="U8" s="444"/>
      <c r="V8" s="444" t="s">
        <v>307</v>
      </c>
      <c r="W8" s="444">
        <v>70000000000</v>
      </c>
      <c r="X8" s="444"/>
      <c r="Y8" s="444"/>
      <c r="Z8" s="444"/>
      <c r="AA8" s="444"/>
      <c r="AB8" s="444"/>
      <c r="AC8" s="444"/>
      <c r="AD8" s="444"/>
      <c r="AE8" s="444"/>
      <c r="AF8" s="444"/>
      <c r="AG8" s="444"/>
      <c r="AH8" s="445" t="s">
        <v>254</v>
      </c>
      <c r="AI8" s="446" t="s">
        <v>253</v>
      </c>
      <c r="AJ8" s="445">
        <v>280.5</v>
      </c>
      <c r="AK8" s="29">
        <v>111.67</v>
      </c>
      <c r="AL8" s="444">
        <f t="shared" si="0"/>
        <v>392.17</v>
      </c>
      <c r="AM8" s="444"/>
      <c r="AN8" s="444"/>
      <c r="AO8" s="444"/>
      <c r="AP8" s="444"/>
      <c r="AQ8" s="444"/>
      <c r="AR8" s="444"/>
      <c r="AS8" s="444"/>
      <c r="AT8" s="444"/>
      <c r="AU8" s="444"/>
      <c r="AV8" s="444"/>
      <c r="AW8" s="444"/>
      <c r="AX8" s="444"/>
    </row>
    <row r="9" spans="2:50" x14ac:dyDescent="0.25">
      <c r="B9" s="9"/>
      <c r="C9" s="10"/>
      <c r="D9" s="10"/>
      <c r="E9" s="10"/>
      <c r="F9" s="405"/>
      <c r="G9" s="405"/>
      <c r="H9" s="405"/>
      <c r="I9" s="405"/>
      <c r="J9" s="405"/>
      <c r="K9" s="405"/>
      <c r="L9" s="405"/>
      <c r="M9" s="10"/>
      <c r="N9" s="6"/>
      <c r="O9" s="10"/>
      <c r="P9" s="10"/>
      <c r="Q9" s="29"/>
      <c r="R9" s="29"/>
      <c r="S9" s="15"/>
      <c r="T9" s="444"/>
      <c r="U9" s="444"/>
      <c r="V9" s="444" t="s">
        <v>310</v>
      </c>
      <c r="W9" s="444">
        <f>IF(W7&lt;3,W7/200,IF(W7&lt;7.5,W7/300+0.005,W7/250))</f>
        <v>0</v>
      </c>
      <c r="X9" s="444"/>
      <c r="Y9" s="444"/>
      <c r="Z9" s="444"/>
      <c r="AA9" s="444"/>
      <c r="AB9" s="444"/>
      <c r="AC9" s="444"/>
      <c r="AD9" s="444"/>
      <c r="AE9" s="444"/>
      <c r="AF9" s="444"/>
      <c r="AG9" s="444"/>
      <c r="AH9" s="445" t="s">
        <v>366</v>
      </c>
      <c r="AI9" s="445" t="s">
        <v>370</v>
      </c>
      <c r="AJ9" s="445">
        <v>355.58</v>
      </c>
      <c r="AK9" s="29">
        <v>198.42</v>
      </c>
      <c r="AL9" s="444">
        <f t="shared" si="0"/>
        <v>554</v>
      </c>
      <c r="AM9" s="444"/>
      <c r="AN9" s="444"/>
      <c r="AO9" s="444"/>
      <c r="AP9" s="444"/>
      <c r="AQ9" s="444"/>
      <c r="AR9" s="444"/>
      <c r="AS9" s="444"/>
      <c r="AT9" s="444"/>
      <c r="AU9" s="444"/>
      <c r="AV9" s="444"/>
      <c r="AW9" s="444"/>
      <c r="AX9" s="444"/>
    </row>
    <row r="10" spans="2:50" x14ac:dyDescent="0.25">
      <c r="B10" s="9"/>
      <c r="C10" s="10"/>
      <c r="D10" s="10"/>
      <c r="E10" s="10"/>
      <c r="F10" s="10"/>
      <c r="G10" s="10"/>
      <c r="H10" s="10"/>
      <c r="I10" s="10"/>
      <c r="J10" s="10"/>
      <c r="K10" s="10"/>
      <c r="L10" s="10"/>
      <c r="M10" s="10"/>
      <c r="N10" s="6"/>
      <c r="O10" s="10"/>
      <c r="P10" s="10"/>
      <c r="Q10" s="10"/>
      <c r="R10" s="10"/>
      <c r="S10" s="15"/>
      <c r="T10" s="444"/>
      <c r="U10" s="444"/>
      <c r="V10" s="444" t="s">
        <v>6</v>
      </c>
      <c r="W10" s="444">
        <f>IF(W7&gt;W3,W3/2,W7/2)</f>
        <v>0</v>
      </c>
      <c r="X10" s="444"/>
      <c r="Y10" s="444"/>
      <c r="Z10" s="444"/>
      <c r="AA10" s="444"/>
      <c r="AB10" s="444"/>
      <c r="AC10" s="444"/>
      <c r="AD10" s="444"/>
      <c r="AE10" s="444"/>
      <c r="AF10" s="444"/>
      <c r="AG10" s="444"/>
      <c r="AH10" s="445" t="s">
        <v>256</v>
      </c>
      <c r="AI10" s="446" t="s">
        <v>255</v>
      </c>
      <c r="AJ10" s="445">
        <v>424.4</v>
      </c>
      <c r="AK10" s="29">
        <v>198.42</v>
      </c>
      <c r="AL10" s="444">
        <f t="shared" si="0"/>
        <v>622.81999999999994</v>
      </c>
      <c r="AM10" s="444"/>
      <c r="AN10" s="444"/>
      <c r="AO10" s="444"/>
      <c r="AP10" s="444"/>
      <c r="AQ10" s="444"/>
      <c r="AR10" s="444"/>
      <c r="AS10" s="444"/>
      <c r="AT10" s="444"/>
      <c r="AU10" s="444"/>
      <c r="AV10" s="444"/>
      <c r="AW10" s="444"/>
      <c r="AX10" s="444"/>
    </row>
    <row r="11" spans="2:50" x14ac:dyDescent="0.25">
      <c r="B11" s="9"/>
      <c r="C11" s="420" t="s">
        <v>50</v>
      </c>
      <c r="D11" s="421"/>
      <c r="E11" s="419">
        <f>'Navigation Page'!D16</f>
        <v>0</v>
      </c>
      <c r="F11" s="419"/>
      <c r="G11" s="419"/>
      <c r="H11" s="420" t="s">
        <v>81</v>
      </c>
      <c r="I11" s="421"/>
      <c r="J11" s="419">
        <f>'Navigation Page'!I16</f>
        <v>0</v>
      </c>
      <c r="K11" s="419"/>
      <c r="L11" s="20" t="s">
        <v>52</v>
      </c>
      <c r="M11" s="419">
        <f>'Navigation Page'!K16</f>
        <v>0</v>
      </c>
      <c r="N11" s="419"/>
      <c r="O11" s="419"/>
      <c r="P11" s="420" t="s">
        <v>53</v>
      </c>
      <c r="Q11" s="421"/>
      <c r="R11" s="414">
        <f>'Navigation Page'!O16</f>
        <v>0</v>
      </c>
      <c r="S11" s="15"/>
      <c r="T11" s="444"/>
      <c r="U11" s="444"/>
      <c r="V11" s="444" t="s">
        <v>7</v>
      </c>
      <c r="W11" s="444">
        <f>IF(W7&gt;W4,W4/2,W7/2)</f>
        <v>0</v>
      </c>
      <c r="X11" s="444"/>
      <c r="Y11" s="444"/>
      <c r="Z11" s="444"/>
      <c r="AA11" s="444"/>
      <c r="AB11" s="444"/>
      <c r="AC11" s="444"/>
      <c r="AD11" s="444"/>
      <c r="AE11" s="444"/>
      <c r="AF11" s="444"/>
      <c r="AG11" s="444"/>
      <c r="AH11" s="445" t="s">
        <v>258</v>
      </c>
      <c r="AI11" s="446" t="s">
        <v>257</v>
      </c>
      <c r="AJ11" s="445">
        <v>612.82000000000005</v>
      </c>
      <c r="AK11" s="29">
        <v>307.29000000000002</v>
      </c>
      <c r="AL11" s="444">
        <f t="shared" si="0"/>
        <v>920.11000000000013</v>
      </c>
      <c r="AM11" s="444"/>
      <c r="AN11" s="444"/>
      <c r="AO11" s="444"/>
      <c r="AP11" s="444"/>
      <c r="AQ11" s="444"/>
      <c r="AR11" s="444"/>
      <c r="AS11" s="444"/>
      <c r="AT11" s="444"/>
      <c r="AU11" s="444"/>
      <c r="AV11" s="444"/>
      <c r="AW11" s="444"/>
      <c r="AX11" s="444"/>
    </row>
    <row r="12" spans="2:50" x14ac:dyDescent="0.25">
      <c r="B12" s="9"/>
      <c r="C12" s="422" t="s">
        <v>54</v>
      </c>
      <c r="D12" s="423"/>
      <c r="E12" s="419">
        <f>'Navigation Page'!D17</f>
        <v>0</v>
      </c>
      <c r="F12" s="419"/>
      <c r="G12" s="419"/>
      <c r="H12" s="422" t="s">
        <v>55</v>
      </c>
      <c r="I12" s="423"/>
      <c r="J12" s="424">
        <f ca="1">'Navigation Page'!I17</f>
        <v>42251</v>
      </c>
      <c r="K12" s="419"/>
      <c r="L12" s="243" t="s">
        <v>56</v>
      </c>
      <c r="M12" s="425">
        <f>'Navigation Page'!K17</f>
        <v>0</v>
      </c>
      <c r="N12" s="24" t="s">
        <v>57</v>
      </c>
      <c r="O12" s="418">
        <f>'Navigation Page'!M17</f>
        <v>0</v>
      </c>
      <c r="P12" s="422" t="s">
        <v>275</v>
      </c>
      <c r="Q12" s="423"/>
      <c r="R12" s="414">
        <v>6</v>
      </c>
      <c r="S12" s="15"/>
      <c r="T12" s="444"/>
      <c r="U12" s="444"/>
      <c r="V12" s="444" t="s">
        <v>311</v>
      </c>
      <c r="W12" s="444" t="s">
        <v>348</v>
      </c>
      <c r="X12" s="444"/>
      <c r="Y12" s="444"/>
      <c r="Z12" s="444"/>
      <c r="AA12" s="444"/>
      <c r="AB12" s="444"/>
      <c r="AC12" s="444"/>
      <c r="AD12" s="444"/>
      <c r="AE12" s="444"/>
      <c r="AF12" s="444"/>
      <c r="AG12" s="444"/>
      <c r="AH12" s="445" t="s">
        <v>260</v>
      </c>
      <c r="AI12" s="446" t="s">
        <v>259</v>
      </c>
      <c r="AJ12" s="445">
        <v>998.91</v>
      </c>
      <c r="AK12" s="29">
        <v>440.29</v>
      </c>
      <c r="AL12" s="444">
        <f t="shared" si="0"/>
        <v>1439.2</v>
      </c>
      <c r="AM12" s="444"/>
      <c r="AN12" s="444"/>
      <c r="AO12" s="444"/>
      <c r="AP12" s="444"/>
      <c r="AQ12" s="444"/>
      <c r="AR12" s="444"/>
      <c r="AS12" s="444"/>
      <c r="AT12" s="444"/>
      <c r="AU12" s="444"/>
      <c r="AV12" s="444"/>
      <c r="AW12" s="444"/>
      <c r="AX12" s="444"/>
    </row>
    <row r="13" spans="2:50" x14ac:dyDescent="0.25">
      <c r="B13" s="9"/>
      <c r="C13" s="10"/>
      <c r="D13" s="10"/>
      <c r="E13" s="10"/>
      <c r="F13" s="10"/>
      <c r="G13" s="10"/>
      <c r="H13" s="10"/>
      <c r="I13" s="10"/>
      <c r="J13" s="10"/>
      <c r="K13" s="10"/>
      <c r="L13" s="10"/>
      <c r="M13" s="10"/>
      <c r="N13" s="10"/>
      <c r="O13" s="10"/>
      <c r="P13" s="10"/>
      <c r="Q13" s="10"/>
      <c r="R13" s="10"/>
      <c r="S13" s="15"/>
      <c r="T13" s="444"/>
      <c r="U13" s="444"/>
      <c r="V13" s="444" t="s">
        <v>312</v>
      </c>
      <c r="W13" s="444">
        <f>IF(W7&gt;W3,W3*W2/2,W7*W2/2)</f>
        <v>0</v>
      </c>
      <c r="X13" s="444" t="s">
        <v>315</v>
      </c>
      <c r="Y13" s="444">
        <f>IF(W7&gt;W4,W4*W2/2,W7*W2/2)</f>
        <v>0</v>
      </c>
      <c r="Z13" s="444" t="s">
        <v>333</v>
      </c>
      <c r="AA13" s="444">
        <f>ABS(30*COS(Z1))</f>
        <v>1.83772268236293E-15</v>
      </c>
      <c r="AB13" s="444"/>
      <c r="AC13" s="444"/>
      <c r="AD13" s="444"/>
      <c r="AE13" s="444"/>
      <c r="AF13" s="444"/>
      <c r="AG13" s="444"/>
      <c r="AH13" s="445" t="s">
        <v>261</v>
      </c>
      <c r="AI13" s="446"/>
      <c r="AJ13" s="445">
        <v>2170</v>
      </c>
      <c r="AK13" s="29"/>
      <c r="AL13" s="444">
        <f t="shared" si="0"/>
        <v>2170</v>
      </c>
      <c r="AM13" s="444"/>
      <c r="AN13" s="444"/>
      <c r="AO13" s="444"/>
      <c r="AP13" s="444"/>
      <c r="AQ13" s="444"/>
      <c r="AR13" s="444"/>
      <c r="AS13" s="444"/>
      <c r="AT13" s="444"/>
      <c r="AU13" s="444"/>
      <c r="AV13" s="444"/>
      <c r="AW13" s="444"/>
      <c r="AX13" s="444"/>
    </row>
    <row r="14" spans="2:50" ht="18.75" x14ac:dyDescent="0.3">
      <c r="B14" s="9"/>
      <c r="C14" s="10"/>
      <c r="D14" s="340" t="s">
        <v>276</v>
      </c>
      <c r="F14" s="10"/>
      <c r="G14" s="10"/>
      <c r="H14" s="10"/>
      <c r="I14" s="10"/>
      <c r="J14" s="10"/>
      <c r="K14" s="10"/>
      <c r="L14" s="10"/>
      <c r="M14" s="10"/>
      <c r="N14" s="10"/>
      <c r="O14" s="10"/>
      <c r="P14" s="10"/>
      <c r="Q14" s="10"/>
      <c r="R14" s="33"/>
      <c r="S14" s="15"/>
      <c r="T14" s="444"/>
      <c r="U14" s="444"/>
      <c r="V14" s="444" t="s">
        <v>313</v>
      </c>
      <c r="W14" s="444">
        <f>ABS(IF(W7&gt;W3,W3*W1/2,W7*W1/2)*COS(Z1))</f>
        <v>0</v>
      </c>
      <c r="X14" s="444" t="s">
        <v>316</v>
      </c>
      <c r="Y14" s="444">
        <f>ABS(IF(W7&gt;W4,W4*W1/2,W7*W1/2)*COS(Z1))</f>
        <v>0</v>
      </c>
      <c r="Z14" s="444"/>
      <c r="AA14" s="444"/>
      <c r="AB14" s="444"/>
      <c r="AC14" s="444"/>
      <c r="AD14" s="444"/>
      <c r="AE14" s="444"/>
      <c r="AF14" s="444"/>
      <c r="AG14" s="444"/>
      <c r="AH14" s="444"/>
      <c r="AI14" s="444"/>
      <c r="AJ14" s="444"/>
      <c r="AK14" s="444"/>
      <c r="AL14" s="444"/>
      <c r="AM14" s="444"/>
      <c r="AN14" s="444"/>
      <c r="AO14" s="444"/>
      <c r="AP14" s="444"/>
      <c r="AQ14" s="444"/>
      <c r="AR14" s="444"/>
      <c r="AS14" s="444"/>
      <c r="AT14" s="444"/>
      <c r="AU14" s="444"/>
      <c r="AV14" s="444"/>
      <c r="AW14" s="444"/>
      <c r="AX14" s="444"/>
    </row>
    <row r="15" spans="2:50" x14ac:dyDescent="0.25">
      <c r="B15" s="9"/>
      <c r="C15" s="10"/>
      <c r="D15" s="10"/>
      <c r="E15" s="341"/>
      <c r="F15" s="10"/>
      <c r="G15" s="10"/>
      <c r="H15" s="10"/>
      <c r="I15" s="10"/>
      <c r="J15" s="10"/>
      <c r="K15" s="10"/>
      <c r="L15" s="6"/>
      <c r="M15" s="6"/>
      <c r="N15" s="6"/>
      <c r="O15" s="6"/>
      <c r="P15" s="10"/>
      <c r="Q15" s="6"/>
      <c r="R15" s="6"/>
      <c r="S15" s="28"/>
      <c r="T15" s="444"/>
      <c r="U15" s="444"/>
      <c r="V15" s="444" t="s">
        <v>314</v>
      </c>
      <c r="W15" s="444">
        <f>IF(O39&gt;60,0,ABS(IF(W7&gt;W3,W3*750/2,W7*750/2)*COS(Z1)))</f>
        <v>0</v>
      </c>
      <c r="X15" s="444" t="s">
        <v>317</v>
      </c>
      <c r="Y15" s="444">
        <f>IF(O39&gt;60,0,ABS(IF(W7&gt;W4,W4*750/2,W7*750/2)*COS(Z1)))</f>
        <v>0</v>
      </c>
      <c r="Z15" s="444"/>
      <c r="AA15" s="444"/>
      <c r="AB15" s="444"/>
      <c r="AC15" s="444"/>
      <c r="AD15" s="444"/>
      <c r="AE15" s="444"/>
      <c r="AF15" s="444"/>
      <c r="AG15" s="444"/>
      <c r="AH15" s="444" t="e">
        <f>IF(AJ15="NA","NA",INDEX(AH2:AH13,MATCH(AJ15,AJ2:AJ13,0)))</f>
        <v>#DIV/0!</v>
      </c>
      <c r="AI15" s="444" t="e">
        <f>IF(AL15="NA","NA",INDEX(AI2:AI12,MATCH(AL15,AL2:AL12,0)))</f>
        <v>#DIV/0!</v>
      </c>
      <c r="AJ15" s="444" t="e">
        <f t="array" ref="AJ15">IF(MIN(IF((AJ2:AJ13&gt;W19),AJ2:AJ13))=0,"NA",MIN(IF((AJ2:AJ13&gt;W19),AJ2:AJ13)))</f>
        <v>#DIV/0!</v>
      </c>
      <c r="AK15" s="444"/>
      <c r="AL15" s="444" t="e">
        <f t="array" ref="AL15">IF(MIN(IF((AL2:AL12&gt;W19),AL2:AL12))=0,"NA",MIN(IF((AL2:AL12&gt;W19),AL2:AL12)))</f>
        <v>#DIV/0!</v>
      </c>
      <c r="AM15" s="444"/>
      <c r="AN15" s="444"/>
      <c r="AO15" s="444" t="e">
        <f>IF(W19&lt;AQ2,AO2,"NA")</f>
        <v>#DIV/0!</v>
      </c>
      <c r="AP15" s="444" t="e">
        <f>IF(W19&lt;AS2,AP2,"NA")</f>
        <v>#DIV/0!</v>
      </c>
      <c r="AQ15" s="444" t="e">
        <f>IF(W19&lt;AQ2,AQ2,"NA")</f>
        <v>#DIV/0!</v>
      </c>
      <c r="AR15" s="444"/>
      <c r="AS15" s="444" t="e">
        <f>IF(W19&lt;AS2,AS2,"NA")</f>
        <v>#DIV/0!</v>
      </c>
      <c r="AT15" s="444"/>
      <c r="AU15" s="444"/>
      <c r="AV15" s="444"/>
      <c r="AW15" s="444"/>
      <c r="AX15" s="444"/>
    </row>
    <row r="16" spans="2:50" x14ac:dyDescent="0.25">
      <c r="B16" s="9"/>
      <c r="C16" s="10"/>
      <c r="D16" s="10"/>
      <c r="E16" s="10"/>
      <c r="F16" s="10"/>
      <c r="G16" s="10"/>
      <c r="H16" s="10"/>
      <c r="I16" s="10"/>
      <c r="J16" s="10"/>
      <c r="K16" s="10"/>
      <c r="L16" s="6"/>
      <c r="M16" s="6"/>
      <c r="N16" s="6"/>
      <c r="O16" s="6"/>
      <c r="P16" s="26"/>
      <c r="Q16" s="6"/>
      <c r="R16" s="6"/>
      <c r="S16" s="28"/>
      <c r="T16" s="444"/>
      <c r="U16" s="444"/>
      <c r="V16" s="444" t="s">
        <v>319</v>
      </c>
      <c r="W16" s="444" t="e">
        <f>(W13+W14+W15)*(2*W7-W10)/(2*W7)</f>
        <v>#DIV/0!</v>
      </c>
      <c r="X16" s="444" t="s">
        <v>320</v>
      </c>
      <c r="Y16" s="444" t="e">
        <f>(Y13+Y14+Y15)*(2*W7-W11)/(2*W7)</f>
        <v>#DIV/0!</v>
      </c>
      <c r="Z16" s="444" t="s">
        <v>378</v>
      </c>
      <c r="AA16" s="444">
        <f>AA13</f>
        <v>1.83772268236293E-15</v>
      </c>
      <c r="AB16" s="444"/>
      <c r="AC16" s="444"/>
      <c r="AD16" s="444"/>
      <c r="AE16" s="444"/>
      <c r="AF16" s="444">
        <f>IF(AF6=1,AI1,AP1)</f>
        <v>70000000000</v>
      </c>
      <c r="AG16" s="444"/>
      <c r="AH16" s="444"/>
      <c r="AI16" s="444" t="e">
        <f>IF(AG6=1,AH15,AI15)</f>
        <v>#DIV/0!</v>
      </c>
      <c r="AJ16" s="444"/>
      <c r="AK16" s="444"/>
      <c r="AL16" s="444" t="e">
        <f>IF(AG6=1,AJ15,AL15)</f>
        <v>#DIV/0!</v>
      </c>
      <c r="AM16" s="444"/>
      <c r="AN16" s="444"/>
      <c r="AO16" s="444"/>
      <c r="AP16" s="444" t="e">
        <f>IF(AG6=1,AO15,AP15)</f>
        <v>#DIV/0!</v>
      </c>
      <c r="AQ16" s="444"/>
      <c r="AR16" s="444"/>
      <c r="AS16" s="444" t="e">
        <f>IF(AG6=1,AQ15,AS15)</f>
        <v>#DIV/0!</v>
      </c>
      <c r="AT16" s="444"/>
      <c r="AU16" s="444"/>
      <c r="AV16" s="444"/>
      <c r="AW16" s="444"/>
      <c r="AX16" s="444"/>
    </row>
    <row r="17" spans="2:50" x14ac:dyDescent="0.25">
      <c r="B17" s="9"/>
      <c r="C17" s="10"/>
      <c r="D17" s="10"/>
      <c r="E17" s="10"/>
      <c r="F17" s="10"/>
      <c r="G17" s="10"/>
      <c r="H17" s="10"/>
      <c r="I17" s="10"/>
      <c r="J17" s="10"/>
      <c r="K17" s="10"/>
      <c r="L17" s="6"/>
      <c r="M17" s="6"/>
      <c r="N17" s="6"/>
      <c r="O17" s="236"/>
      <c r="P17" s="6"/>
      <c r="Q17" s="29"/>
      <c r="R17" s="6"/>
      <c r="S17" s="28"/>
      <c r="T17" s="444"/>
      <c r="U17" s="444"/>
      <c r="V17" s="444" t="s">
        <v>321</v>
      </c>
      <c r="W17" s="444" t="e">
        <f>(39+55*(33^(1/2)))*W16*(Y7^4)/(1048576*W8*W9)</f>
        <v>#DIV/0!</v>
      </c>
      <c r="X17" s="444" t="s">
        <v>322</v>
      </c>
      <c r="Y17" s="444" t="e">
        <f>(39+55*(33^(1/2)))*Y16*Y7^4/(1048576*W8*W9)</f>
        <v>#DIV/0!</v>
      </c>
      <c r="Z17" s="444" t="s">
        <v>334</v>
      </c>
      <c r="AA17" s="444" t="e">
        <f>(39+55*(33^(1/2)))*AA16*Y7^4/(1048576*W8*W9)</f>
        <v>#DIV/0!</v>
      </c>
      <c r="AB17" s="444"/>
      <c r="AC17" s="444"/>
      <c r="AD17" s="444"/>
      <c r="AE17" s="444"/>
      <c r="AF17" s="444"/>
      <c r="AG17" s="444"/>
      <c r="AH17" s="444"/>
      <c r="AI17" s="444"/>
      <c r="AJ17" s="444"/>
      <c r="AK17" s="444"/>
      <c r="AL17" s="444"/>
      <c r="AM17" s="444"/>
      <c r="AN17" s="444"/>
      <c r="AO17" s="444"/>
      <c r="AP17" s="444"/>
      <c r="AQ17" s="444"/>
      <c r="AR17" s="444"/>
      <c r="AS17" s="444"/>
      <c r="AT17" s="444"/>
      <c r="AU17" s="444"/>
      <c r="AV17" s="444"/>
      <c r="AW17" s="444"/>
      <c r="AX17" s="444"/>
    </row>
    <row r="18" spans="2:50" x14ac:dyDescent="0.25">
      <c r="B18" s="9"/>
      <c r="C18" s="10"/>
      <c r="D18" s="10"/>
      <c r="E18" s="10"/>
      <c r="F18" s="10"/>
      <c r="G18" s="10"/>
      <c r="H18" s="10"/>
      <c r="I18" s="10"/>
      <c r="J18" s="10"/>
      <c r="K18" s="10"/>
      <c r="L18" s="6"/>
      <c r="M18" s="6"/>
      <c r="N18" s="6"/>
      <c r="O18" s="266"/>
      <c r="P18" s="407"/>
      <c r="Q18" s="407"/>
      <c r="R18" s="407"/>
      <c r="S18" s="430"/>
      <c r="T18" s="444"/>
      <c r="U18" s="444"/>
      <c r="V18" s="444" t="s">
        <v>323</v>
      </c>
      <c r="W18" s="444" t="e">
        <f>W17+Y17+AA17</f>
        <v>#DIV/0!</v>
      </c>
      <c r="X18" s="444" t="s">
        <v>15</v>
      </c>
      <c r="Y18" s="444"/>
      <c r="Z18" s="444"/>
      <c r="AA18" s="444"/>
      <c r="AB18" s="444"/>
      <c r="AC18" s="444"/>
      <c r="AD18" s="444"/>
      <c r="AE18" s="444"/>
      <c r="AF18" s="444"/>
      <c r="AG18" s="444"/>
      <c r="AH18" s="444"/>
      <c r="AI18" s="444"/>
      <c r="AJ18" s="444"/>
      <c r="AK18" s="444"/>
      <c r="AL18" s="444"/>
      <c r="AM18" s="444"/>
      <c r="AN18" s="444"/>
      <c r="AO18" s="444"/>
      <c r="AP18" s="444"/>
      <c r="AQ18" s="444"/>
      <c r="AR18" s="444"/>
      <c r="AS18" s="444"/>
      <c r="AT18" s="444"/>
      <c r="AU18" s="444"/>
      <c r="AV18" s="444"/>
      <c r="AW18" s="444"/>
      <c r="AX18" s="444"/>
    </row>
    <row r="19" spans="2:50" x14ac:dyDescent="0.25">
      <c r="B19" s="9"/>
      <c r="C19" s="10"/>
      <c r="D19" s="10"/>
      <c r="E19" s="10"/>
      <c r="F19" s="10"/>
      <c r="G19" s="10"/>
      <c r="H19" s="10"/>
      <c r="I19" s="10"/>
      <c r="J19" s="10"/>
      <c r="K19" s="10"/>
      <c r="L19" s="6"/>
      <c r="M19" s="6"/>
      <c r="N19" s="6"/>
      <c r="O19" s="408"/>
      <c r="P19" s="408"/>
      <c r="Q19" s="408"/>
      <c r="R19" s="408"/>
      <c r="S19" s="431"/>
      <c r="T19" s="444"/>
      <c r="U19" s="444"/>
      <c r="V19" s="444" t="s">
        <v>323</v>
      </c>
      <c r="W19" s="444" t="e">
        <f>W18*100000000</f>
        <v>#DIV/0!</v>
      </c>
      <c r="X19" s="444" t="s">
        <v>16</v>
      </c>
      <c r="Y19" s="444"/>
      <c r="Z19" s="444"/>
      <c r="AA19" s="444"/>
      <c r="AB19" s="444"/>
      <c r="AC19" s="444"/>
      <c r="AD19" s="444"/>
      <c r="AE19" s="444"/>
      <c r="AF19" s="444"/>
      <c r="AG19" s="444"/>
      <c r="AH19" s="444" t="e">
        <f>IF(AF6=1,AI16,AP16)</f>
        <v>#DIV/0!</v>
      </c>
      <c r="AI19" s="444" t="e">
        <f>IF(AF6=1,AL16,AS16)</f>
        <v>#DIV/0!</v>
      </c>
      <c r="AJ19" s="444"/>
      <c r="AK19" s="444"/>
      <c r="AL19" s="444"/>
      <c r="AM19" s="444"/>
      <c r="AN19" s="444"/>
      <c r="AO19" s="444"/>
      <c r="AP19" s="444"/>
      <c r="AQ19" s="444"/>
      <c r="AR19" s="444"/>
      <c r="AS19" s="444"/>
      <c r="AT19" s="444"/>
      <c r="AU19" s="444"/>
      <c r="AV19" s="444"/>
      <c r="AW19" s="444"/>
      <c r="AX19" s="444"/>
    </row>
    <row r="20" spans="2:50" x14ac:dyDescent="0.25">
      <c r="B20" s="9"/>
      <c r="C20" s="10"/>
      <c r="D20" s="10"/>
      <c r="E20" s="10"/>
      <c r="F20" s="10"/>
      <c r="G20" s="10"/>
      <c r="H20" s="10"/>
      <c r="I20" s="10"/>
      <c r="J20" s="10"/>
      <c r="K20" s="10"/>
      <c r="L20" s="6"/>
      <c r="M20" s="6"/>
      <c r="N20" s="6"/>
      <c r="O20" s="407"/>
      <c r="P20" s="407"/>
      <c r="Q20" s="407"/>
      <c r="R20" s="407"/>
      <c r="S20" s="430"/>
      <c r="T20" s="444"/>
      <c r="U20" s="444"/>
      <c r="V20" s="444" t="s">
        <v>17</v>
      </c>
      <c r="W20" s="444" t="e">
        <f>AI19/100000000</f>
        <v>#DIV/0!</v>
      </c>
      <c r="X20" s="444"/>
      <c r="Y20" s="444"/>
      <c r="Z20" s="444"/>
      <c r="AA20" s="444"/>
      <c r="AB20" s="444"/>
      <c r="AC20" s="444"/>
      <c r="AD20" s="444"/>
      <c r="AE20" s="444"/>
      <c r="AF20" s="444"/>
      <c r="AG20" s="444"/>
      <c r="AH20" s="444"/>
      <c r="AI20" s="444"/>
      <c r="AJ20" s="444"/>
      <c r="AK20" s="444"/>
      <c r="AL20" s="444"/>
      <c r="AM20" s="444"/>
      <c r="AN20" s="444"/>
      <c r="AO20" s="444"/>
      <c r="AP20" s="444"/>
      <c r="AQ20" s="444"/>
      <c r="AR20" s="444"/>
      <c r="AS20" s="444"/>
      <c r="AT20" s="444"/>
      <c r="AU20" s="444"/>
      <c r="AV20" s="444"/>
      <c r="AW20" s="444"/>
      <c r="AX20" s="444"/>
    </row>
    <row r="21" spans="2:50" x14ac:dyDescent="0.25">
      <c r="B21" s="9"/>
      <c r="C21" s="10"/>
      <c r="D21" s="10"/>
      <c r="E21" s="10"/>
      <c r="F21" s="10"/>
      <c r="G21" s="10"/>
      <c r="H21" s="10"/>
      <c r="I21" s="10"/>
      <c r="J21" s="10"/>
      <c r="K21" s="10"/>
      <c r="L21" s="6"/>
      <c r="M21" s="6"/>
      <c r="N21" s="6"/>
      <c r="O21" s="407"/>
      <c r="P21" s="407"/>
      <c r="Q21" s="407"/>
      <c r="R21" s="407"/>
      <c r="S21" s="430"/>
      <c r="T21" s="444"/>
      <c r="U21" s="444"/>
      <c r="V21" s="444" t="s">
        <v>337</v>
      </c>
      <c r="W21" s="444"/>
      <c r="X21" s="444"/>
      <c r="Y21" s="444"/>
      <c r="Z21" s="444"/>
      <c r="AA21" s="444"/>
      <c r="AB21" s="444"/>
      <c r="AC21" s="444"/>
      <c r="AD21" s="444"/>
      <c r="AE21" s="444"/>
      <c r="AF21" s="444"/>
      <c r="AG21" s="444"/>
      <c r="AH21" s="444"/>
      <c r="AI21" s="444"/>
      <c r="AJ21" s="444"/>
      <c r="AK21" s="444"/>
      <c r="AL21" s="444"/>
      <c r="AM21" s="444"/>
      <c r="AN21" s="444"/>
      <c r="AO21" s="444"/>
      <c r="AP21" s="444"/>
      <c r="AQ21" s="444"/>
      <c r="AR21" s="444"/>
      <c r="AS21" s="444"/>
      <c r="AT21" s="444"/>
      <c r="AU21" s="444"/>
      <c r="AV21" s="444"/>
      <c r="AW21" s="444"/>
      <c r="AX21" s="444"/>
    </row>
    <row r="22" spans="2:50" x14ac:dyDescent="0.25">
      <c r="B22" s="9"/>
      <c r="C22" s="10"/>
      <c r="D22" s="10"/>
      <c r="E22" s="10"/>
      <c r="F22" s="10"/>
      <c r="G22" s="10"/>
      <c r="H22" s="10"/>
      <c r="I22" s="10"/>
      <c r="J22" s="10"/>
      <c r="K22" s="10"/>
      <c r="L22" s="6"/>
      <c r="M22" s="6"/>
      <c r="N22" s="6"/>
      <c r="O22" s="6"/>
      <c r="P22" s="26"/>
      <c r="Q22" s="6"/>
      <c r="R22" s="6"/>
      <c r="S22" s="28"/>
      <c r="T22" s="444"/>
      <c r="U22" s="444"/>
      <c r="V22" s="444" t="s">
        <v>338</v>
      </c>
      <c r="W22" s="444" t="e">
        <f>(39+55*(33^(1/2)))*W16*(Y7^4)/(1048576*W8*W20)</f>
        <v>#DIV/0!</v>
      </c>
      <c r="X22" s="444" t="s">
        <v>339</v>
      </c>
      <c r="Y22" s="444" t="e">
        <f>(39+55*(33^(1/2)))*Y16*Y7^4/(1048576*W8*W20)</f>
        <v>#DIV/0!</v>
      </c>
      <c r="Z22" s="444" t="s">
        <v>340</v>
      </c>
      <c r="AA22" s="444" t="e">
        <f>(39+55*(33^(1/2)))*AA16*Y7^4/(1048576*W8*W20)</f>
        <v>#DIV/0!</v>
      </c>
      <c r="AB22" s="444"/>
      <c r="AC22" s="444"/>
      <c r="AD22" s="444"/>
      <c r="AE22" s="444"/>
      <c r="AF22" s="444">
        <f>IF(M70=U34,1,2)</f>
        <v>1</v>
      </c>
      <c r="AG22" s="444"/>
      <c r="AH22" s="444" t="e">
        <f>IF(O85&lt;AJ2,AH2,IF(O85&lt;AJ3,AH3,IF(O85&lt;AJ4,AH4,IF(O85&lt;AJ5,AH5,IF(O85&lt;AJ6,AH6,IF(O85&lt;AJ7,AH7,IF(O85&lt;AJ8,AH8,IF(O85&lt;AJ9,AH9,"NA"))))))))</f>
        <v>#DIV/0!</v>
      </c>
      <c r="AI22" s="444" t="e">
        <f>IF(O85&lt;AL2,AI2,IF(O85&lt;AL3,AI3,IF(O85&lt;AL4,AI4,IF(O85&lt;AL5,AI5,IF(O85&lt;AL6,AI6,IF(O85&lt;AL7,AI7,IF(O85&lt;AL8,AI8,IF(O85&lt;AL9,AI9,"NA"))))))))</f>
        <v>#DIV/0!</v>
      </c>
      <c r="AJ22" s="444"/>
      <c r="AK22" s="444"/>
      <c r="AL22" s="444"/>
      <c r="AM22" s="444"/>
      <c r="AN22" s="444"/>
      <c r="AO22" s="444" t="e">
        <f>IF(O85&lt;AQ2,AO2,"NA")</f>
        <v>#DIV/0!</v>
      </c>
      <c r="AP22" s="444" t="e">
        <f>IF(O85&lt;AS2,AP2,"NA")</f>
        <v>#DIV/0!</v>
      </c>
      <c r="AQ22" s="444"/>
      <c r="AR22" s="444"/>
      <c r="AS22" s="444"/>
      <c r="AT22" s="444"/>
      <c r="AU22" s="444"/>
      <c r="AV22" s="444"/>
      <c r="AW22" s="444"/>
      <c r="AX22" s="444"/>
    </row>
    <row r="23" spans="2:50" x14ac:dyDescent="0.25">
      <c r="B23" s="9"/>
      <c r="C23" s="10"/>
      <c r="D23" s="10"/>
      <c r="E23" s="10"/>
      <c r="F23" s="10"/>
      <c r="G23" s="10"/>
      <c r="H23" s="10"/>
      <c r="I23" s="10"/>
      <c r="J23" s="10"/>
      <c r="K23" s="10"/>
      <c r="L23" s="6"/>
      <c r="M23" s="6"/>
      <c r="N23" s="6"/>
      <c r="O23" s="6"/>
      <c r="P23" s="26"/>
      <c r="Q23" s="6"/>
      <c r="R23" s="6"/>
      <c r="S23" s="28"/>
      <c r="T23" s="444"/>
      <c r="U23" s="444"/>
      <c r="V23" s="444" t="s">
        <v>341</v>
      </c>
      <c r="W23" s="444" t="e">
        <f>W22+Y22+AA22</f>
        <v>#DIV/0!</v>
      </c>
      <c r="X23" s="444"/>
      <c r="Y23" s="444"/>
      <c r="Z23" s="444"/>
      <c r="AA23" s="444"/>
      <c r="AB23" s="444"/>
      <c r="AC23" s="444"/>
      <c r="AD23" s="444"/>
      <c r="AE23" s="444"/>
      <c r="AF23" s="444"/>
      <c r="AG23" s="444"/>
      <c r="AH23" s="444"/>
      <c r="AI23" s="444" t="e">
        <f>IF(AF22=1,AH22,AI22)</f>
        <v>#DIV/0!</v>
      </c>
      <c r="AJ23" s="444"/>
      <c r="AK23" s="444"/>
      <c r="AL23" s="444"/>
      <c r="AM23" s="444"/>
      <c r="AN23" s="444"/>
      <c r="AO23" s="444"/>
      <c r="AP23" s="444" t="e">
        <f>IF(AF22=1,AO22,AP22)</f>
        <v>#DIV/0!</v>
      </c>
      <c r="AQ23" s="444"/>
      <c r="AR23" s="444"/>
      <c r="AS23" s="444"/>
      <c r="AT23" s="444"/>
      <c r="AU23" s="444"/>
      <c r="AV23" s="444"/>
      <c r="AW23" s="444"/>
      <c r="AX23" s="444"/>
    </row>
    <row r="24" spans="2:50" x14ac:dyDescent="0.25">
      <c r="B24" s="9"/>
      <c r="C24" s="10"/>
      <c r="D24" s="10"/>
      <c r="E24" s="10"/>
      <c r="F24" s="10"/>
      <c r="G24" s="10"/>
      <c r="H24" s="10"/>
      <c r="I24" s="10"/>
      <c r="J24" s="10"/>
      <c r="K24" s="10"/>
      <c r="L24" s="6"/>
      <c r="M24" s="6"/>
      <c r="N24" s="6"/>
      <c r="O24" s="6"/>
      <c r="P24" s="26"/>
      <c r="Q24" s="26"/>
      <c r="R24" s="26"/>
      <c r="S24" s="342"/>
      <c r="T24" s="444"/>
      <c r="U24" s="444"/>
      <c r="V24" s="444" t="s">
        <v>342</v>
      </c>
      <c r="W24" s="444" t="e">
        <f>W7/W23</f>
        <v>#DIV/0!</v>
      </c>
      <c r="X24" s="444" t="s">
        <v>74</v>
      </c>
      <c r="Y24" s="444" t="s">
        <v>75</v>
      </c>
      <c r="Z24" s="444"/>
      <c r="AA24" s="444"/>
      <c r="AB24" s="444"/>
      <c r="AC24" s="444"/>
      <c r="AD24" s="444"/>
      <c r="AE24" s="444"/>
      <c r="AF24" s="444"/>
      <c r="AG24" s="444"/>
      <c r="AH24" s="444"/>
      <c r="AI24" s="444"/>
      <c r="AJ24" s="444"/>
      <c r="AK24" s="444"/>
      <c r="AL24" s="444"/>
      <c r="AM24" s="444"/>
      <c r="AN24" s="444"/>
      <c r="AO24" s="444"/>
      <c r="AP24" s="444"/>
      <c r="AQ24" s="444"/>
      <c r="AR24" s="444"/>
      <c r="AS24" s="444"/>
      <c r="AT24" s="444"/>
      <c r="AU24" s="444"/>
      <c r="AV24" s="444"/>
      <c r="AW24" s="444"/>
      <c r="AX24" s="444"/>
    </row>
    <row r="25" spans="2:50" x14ac:dyDescent="0.25">
      <c r="B25" s="9"/>
      <c r="C25" s="10"/>
      <c r="D25" s="10"/>
      <c r="E25" s="10"/>
      <c r="F25" s="10"/>
      <c r="G25" s="10"/>
      <c r="H25" s="10"/>
      <c r="I25" s="10"/>
      <c r="J25" s="10"/>
      <c r="K25" s="10"/>
      <c r="L25" s="6"/>
      <c r="M25" s="6"/>
      <c r="N25" s="6"/>
      <c r="O25" s="6"/>
      <c r="P25" s="26"/>
      <c r="Q25" s="26"/>
      <c r="R25" s="26"/>
      <c r="S25" s="342"/>
      <c r="T25" s="444"/>
      <c r="U25" s="444"/>
      <c r="V25" s="444" t="s">
        <v>19</v>
      </c>
      <c r="W25" s="444"/>
      <c r="X25" s="444" t="e">
        <f>(3/16)*(W16+Y16+AA13)*Y7</f>
        <v>#DIV/0!</v>
      </c>
      <c r="Y25" s="444">
        <f>IF(W29=1,((W1*(W6+W5)*(W3+W4)+30*(W5+W6))+IF(O39&gt;60,0,750*(W3+W4)*(W5+W6)))*SIN(Z1)/2,0)</f>
        <v>0</v>
      </c>
      <c r="Z25" s="444"/>
      <c r="AA25" s="444"/>
      <c r="AB25" s="444"/>
      <c r="AC25" s="444"/>
      <c r="AD25" s="444"/>
      <c r="AE25" s="444"/>
      <c r="AF25" s="444"/>
      <c r="AG25" s="444"/>
      <c r="AH25" s="444"/>
      <c r="AI25" s="444"/>
      <c r="AJ25" s="444"/>
      <c r="AK25" s="444"/>
      <c r="AL25" s="444"/>
      <c r="AM25" s="444"/>
      <c r="AN25" s="444"/>
      <c r="AO25" s="444"/>
      <c r="AP25" s="444"/>
      <c r="AQ25" s="444"/>
      <c r="AR25" s="444"/>
      <c r="AS25" s="444"/>
      <c r="AT25" s="444"/>
      <c r="AU25" s="444"/>
      <c r="AV25" s="444"/>
      <c r="AW25" s="444"/>
      <c r="AX25" s="444"/>
    </row>
    <row r="26" spans="2:50" x14ac:dyDescent="0.25">
      <c r="B26" s="9"/>
      <c r="C26" s="10"/>
      <c r="D26" s="10"/>
      <c r="E26" s="10"/>
      <c r="F26" s="10"/>
      <c r="G26" s="10"/>
      <c r="H26" s="10"/>
      <c r="I26" s="10"/>
      <c r="J26" s="10"/>
      <c r="K26" s="10"/>
      <c r="L26" s="6"/>
      <c r="M26" s="6"/>
      <c r="N26" s="6"/>
      <c r="O26" s="6"/>
      <c r="P26" s="26"/>
      <c r="Q26" s="26"/>
      <c r="R26" s="26"/>
      <c r="S26" s="342"/>
      <c r="T26" s="444"/>
      <c r="U26" s="444"/>
      <c r="V26" s="444" t="s">
        <v>281</v>
      </c>
      <c r="W26" s="444"/>
      <c r="X26" s="444" t="e">
        <f>(5/8)*(W16+Y16+AA13)*Y7</f>
        <v>#DIV/0!</v>
      </c>
      <c r="Y26" s="444">
        <f>IF(W29=2,((W1*(W6+W5)*(W3+W4)+30*(W5+W6))+IF(O39&gt;60,0,750*(W3+W4)*(W5+W6)))*SIN(Z1)/2,0)</f>
        <v>0</v>
      </c>
      <c r="Z26" s="444"/>
      <c r="AA26" s="444"/>
      <c r="AB26" s="444"/>
      <c r="AC26" s="444"/>
      <c r="AD26" s="444"/>
      <c r="AE26" s="444"/>
      <c r="AF26" s="444"/>
      <c r="AG26" s="444"/>
      <c r="AH26" s="444" t="e">
        <f>IF(AF6=1,AI23,AP23)</f>
        <v>#DIV/0!</v>
      </c>
      <c r="AI26" s="444"/>
      <c r="AJ26" s="444"/>
      <c r="AK26" s="444"/>
      <c r="AL26" s="444"/>
      <c r="AM26" s="444"/>
      <c r="AN26" s="444"/>
      <c r="AO26" s="444"/>
      <c r="AP26" s="444"/>
      <c r="AQ26" s="444"/>
      <c r="AR26" s="444"/>
      <c r="AS26" s="444"/>
      <c r="AT26" s="444"/>
      <c r="AU26" s="444"/>
      <c r="AV26" s="444"/>
      <c r="AW26" s="444"/>
      <c r="AX26" s="444"/>
    </row>
    <row r="27" spans="2:50" x14ac:dyDescent="0.25">
      <c r="B27" s="9"/>
      <c r="C27" s="10"/>
      <c r="D27" s="10"/>
      <c r="E27" s="10"/>
      <c r="F27" s="10"/>
      <c r="G27" s="10"/>
      <c r="H27" s="10"/>
      <c r="I27" s="10"/>
      <c r="J27" s="10"/>
      <c r="K27" s="10"/>
      <c r="L27" s="6"/>
      <c r="M27" s="6"/>
      <c r="N27" s="6"/>
      <c r="O27" s="6"/>
      <c r="P27" s="26"/>
      <c r="Q27" s="26"/>
      <c r="R27" s="26"/>
      <c r="S27" s="342"/>
      <c r="T27" s="444"/>
      <c r="U27" s="444"/>
      <c r="V27" s="444" t="s">
        <v>20</v>
      </c>
      <c r="W27" s="444"/>
      <c r="X27" s="444" t="e">
        <f>(3/16)*(W16+Y16+AA13)*Y7</f>
        <v>#DIV/0!</v>
      </c>
      <c r="Y27" s="444">
        <f>IF(W29=3,((W1*(W6+W5)*(W3+W4)+30*(W5+W6))+IF(O39&gt;60,0,750*(W3+W4)*(W5+W6)))*SIN(Z1)/2,0)</f>
        <v>0</v>
      </c>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row>
    <row r="28" spans="2:50" x14ac:dyDescent="0.25">
      <c r="B28" s="9"/>
      <c r="C28" s="10"/>
      <c r="D28" s="10"/>
      <c r="E28" s="10"/>
      <c r="F28" s="10"/>
      <c r="G28" s="10"/>
      <c r="H28" s="10"/>
      <c r="I28" s="10"/>
      <c r="J28" s="10"/>
      <c r="K28" s="10"/>
      <c r="L28" s="6"/>
      <c r="M28" s="6"/>
      <c r="N28" s="6"/>
      <c r="O28" s="6"/>
      <c r="P28" s="6"/>
      <c r="Q28" s="6"/>
      <c r="R28" s="6"/>
      <c r="S28" s="28"/>
      <c r="T28" s="444"/>
      <c r="U28" s="444"/>
      <c r="V28" s="444"/>
      <c r="W28" s="444"/>
      <c r="X28" s="444"/>
      <c r="Y28" s="444"/>
      <c r="Z28" s="444"/>
      <c r="AA28" s="444"/>
      <c r="AB28" s="444"/>
      <c r="AC28" s="444"/>
      <c r="AD28" s="444"/>
      <c r="AE28" s="444"/>
      <c r="AF28" s="444"/>
      <c r="AG28" s="444"/>
      <c r="AH28" s="444"/>
      <c r="AI28" s="444"/>
      <c r="AJ28" s="444"/>
      <c r="AK28" s="444"/>
      <c r="AL28" s="444"/>
      <c r="AM28" s="444"/>
      <c r="AN28" s="444"/>
      <c r="AO28" s="444"/>
      <c r="AP28" s="444"/>
      <c r="AQ28" s="444"/>
      <c r="AR28" s="444"/>
      <c r="AS28" s="444"/>
      <c r="AT28" s="444"/>
      <c r="AU28" s="444"/>
      <c r="AV28" s="444"/>
      <c r="AW28" s="444"/>
      <c r="AX28" s="444"/>
    </row>
    <row r="29" spans="2:50" x14ac:dyDescent="0.25">
      <c r="B29" s="9"/>
      <c r="C29" s="10"/>
      <c r="D29" s="10"/>
      <c r="E29" s="10"/>
      <c r="F29" s="10"/>
      <c r="G29" s="10"/>
      <c r="H29" s="10"/>
      <c r="I29" s="10"/>
      <c r="J29" s="10"/>
      <c r="K29" s="10"/>
      <c r="L29" s="6"/>
      <c r="M29" s="6"/>
      <c r="N29" s="6"/>
      <c r="O29" s="6"/>
      <c r="P29" s="6"/>
      <c r="Q29" s="6"/>
      <c r="R29" s="6"/>
      <c r="S29" s="28"/>
      <c r="T29" s="444"/>
      <c r="U29" s="444"/>
      <c r="V29" s="444"/>
      <c r="W29" s="444">
        <f>IF(G49=U47,1,IF(G49=U48,2,3))</f>
        <v>3</v>
      </c>
      <c r="X29" s="444"/>
      <c r="Y29" s="444"/>
      <c r="Z29" s="444"/>
      <c r="AA29" s="444"/>
      <c r="AB29" s="444"/>
      <c r="AC29" s="444"/>
      <c r="AD29" s="444"/>
      <c r="AE29" s="444"/>
      <c r="AF29" s="444"/>
      <c r="AG29" s="444"/>
      <c r="AH29" s="444"/>
      <c r="AI29" s="444"/>
      <c r="AJ29" s="444"/>
      <c r="AK29" s="444"/>
      <c r="AL29" s="444"/>
      <c r="AM29" s="444"/>
      <c r="AN29" s="444"/>
      <c r="AO29" s="444"/>
      <c r="AP29" s="444"/>
      <c r="AQ29" s="444"/>
      <c r="AR29" s="444"/>
      <c r="AS29" s="444"/>
      <c r="AT29" s="444"/>
      <c r="AU29" s="444"/>
      <c r="AV29" s="444"/>
      <c r="AW29" s="444"/>
      <c r="AX29" s="444"/>
    </row>
    <row r="30" spans="2:50" x14ac:dyDescent="0.25">
      <c r="B30" s="9"/>
      <c r="C30" s="10"/>
      <c r="D30" s="10"/>
      <c r="E30" s="10"/>
      <c r="F30" s="10"/>
      <c r="G30" s="10"/>
      <c r="H30" s="10"/>
      <c r="I30" s="10"/>
      <c r="J30" s="10"/>
      <c r="K30" s="236" t="str">
        <f>IF(O39&lt;10,"Metal Technology do not recommend roof pitches less than 10 degrees.",IF(O39&gt;100,"Metal Technology do not recommend curtain walling screens installed",""))</f>
        <v/>
      </c>
      <c r="L30" s="6"/>
      <c r="M30" s="6"/>
      <c r="N30" s="6"/>
      <c r="O30" s="6"/>
      <c r="P30" s="6"/>
      <c r="Q30" s="6"/>
      <c r="R30" s="6"/>
      <c r="S30" s="28"/>
      <c r="T30" s="444"/>
      <c r="U30" s="444"/>
      <c r="V30" s="444"/>
      <c r="W30" s="444"/>
      <c r="X30" s="444"/>
      <c r="Y30" s="444"/>
      <c r="Z30" s="444"/>
      <c r="AA30" s="444"/>
      <c r="AB30" s="444"/>
      <c r="AC30" s="444"/>
      <c r="AD30" s="444"/>
      <c r="AE30" s="444"/>
      <c r="AF30" s="444"/>
      <c r="AG30" s="444"/>
      <c r="AH30" s="444"/>
      <c r="AI30" s="444"/>
      <c r="AJ30" s="444"/>
      <c r="AK30" s="444"/>
      <c r="AL30" s="444"/>
      <c r="AM30" s="444"/>
      <c r="AN30" s="444"/>
      <c r="AO30" s="444"/>
      <c r="AP30" s="444"/>
      <c r="AQ30" s="444"/>
      <c r="AR30" s="444"/>
      <c r="AS30" s="444"/>
      <c r="AT30" s="444"/>
      <c r="AU30" s="444"/>
      <c r="AV30" s="444"/>
      <c r="AW30" s="444"/>
      <c r="AX30" s="444"/>
    </row>
    <row r="31" spans="2:50" x14ac:dyDescent="0.25">
      <c r="B31" s="9"/>
      <c r="C31" s="10"/>
      <c r="D31" s="10"/>
      <c r="E31" s="10"/>
      <c r="F31" s="10"/>
      <c r="G31" s="10"/>
      <c r="H31" s="10"/>
      <c r="I31" s="10"/>
      <c r="J31" s="10"/>
      <c r="K31" s="236" t="str">
        <f>IF(O39&gt;100,"at an angle greater than 100 degrees.","")</f>
        <v/>
      </c>
      <c r="L31" s="6"/>
      <c r="M31" s="6"/>
      <c r="N31" s="6"/>
      <c r="O31" s="6"/>
      <c r="P31" s="6"/>
      <c r="Q31" s="6"/>
      <c r="R31" s="6"/>
      <c r="S31" s="28"/>
      <c r="T31" s="444"/>
      <c r="U31" s="444"/>
      <c r="V31" s="444"/>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row>
    <row r="32" spans="2:50" x14ac:dyDescent="0.25">
      <c r="B32" s="9"/>
      <c r="C32" s="10"/>
      <c r="D32" s="10"/>
      <c r="E32" s="10"/>
      <c r="F32" s="10"/>
      <c r="G32" s="10"/>
      <c r="H32" s="10"/>
      <c r="I32" s="10"/>
      <c r="J32" s="10"/>
      <c r="K32" s="236" t="str">
        <f>IF(O39&lt;10,"Please refer to Metal Technology’s technical department for further guidance.",IF(O39&gt;100,"Please refer to Metal Technology’s technical department for further guidance.",""))</f>
        <v/>
      </c>
      <c r="L32" s="6"/>
      <c r="M32" s="6"/>
      <c r="N32" s="6"/>
      <c r="O32" s="6"/>
      <c r="P32" s="6"/>
      <c r="Q32" s="6"/>
      <c r="R32" s="6"/>
      <c r="S32" s="432"/>
      <c r="T32" s="444"/>
      <c r="U32" s="444"/>
      <c r="V32" s="444"/>
      <c r="W32" s="444"/>
      <c r="X32" s="444"/>
      <c r="Y32" s="444"/>
      <c r="Z32" s="444"/>
      <c r="AA32" s="444"/>
      <c r="AB32" s="444"/>
      <c r="AC32" s="444"/>
      <c r="AD32" s="444"/>
      <c r="AE32" s="444"/>
      <c r="AF32" s="444"/>
      <c r="AG32" s="444"/>
      <c r="AH32" s="444"/>
      <c r="AI32" s="444"/>
      <c r="AJ32" s="444"/>
      <c r="AK32" s="444"/>
      <c r="AL32" s="444"/>
      <c r="AM32" s="444"/>
      <c r="AN32" s="444"/>
      <c r="AO32" s="444"/>
      <c r="AP32" s="444"/>
      <c r="AQ32" s="444"/>
      <c r="AR32" s="444"/>
      <c r="AS32" s="444"/>
      <c r="AT32" s="444"/>
      <c r="AU32" s="444"/>
      <c r="AV32" s="444"/>
      <c r="AW32" s="444"/>
      <c r="AX32" s="444"/>
    </row>
    <row r="33" spans="2:50" x14ac:dyDescent="0.25">
      <c r="B33" s="9"/>
      <c r="C33" s="10"/>
      <c r="D33" s="10"/>
      <c r="E33" s="10"/>
      <c r="F33" s="10"/>
      <c r="G33" s="10"/>
      <c r="H33" s="10"/>
      <c r="I33" s="10"/>
      <c r="J33" s="10"/>
      <c r="K33" s="10"/>
      <c r="L33" s="6"/>
      <c r="M33" s="6"/>
      <c r="N33" s="6"/>
      <c r="O33" s="433"/>
      <c r="P33" s="6"/>
      <c r="Q33" s="6"/>
      <c r="R33" s="6"/>
      <c r="S33" s="15"/>
      <c r="T33" s="444"/>
      <c r="U33" s="444"/>
      <c r="V33" s="444"/>
      <c r="W33" s="444"/>
      <c r="X33" s="444"/>
      <c r="Y33" s="444"/>
      <c r="Z33" s="444"/>
      <c r="AA33" s="444"/>
      <c r="AB33" s="444"/>
      <c r="AC33" s="444"/>
      <c r="AD33" s="444"/>
      <c r="AE33" s="444"/>
      <c r="AF33" s="444"/>
      <c r="AG33" s="444"/>
      <c r="AH33" s="444"/>
      <c r="AI33" s="444"/>
      <c r="AJ33" s="444"/>
      <c r="AK33" s="444"/>
      <c r="AL33" s="444"/>
      <c r="AM33" s="444"/>
      <c r="AN33" s="444"/>
      <c r="AO33" s="444"/>
      <c r="AP33" s="444"/>
      <c r="AQ33" s="444"/>
      <c r="AR33" s="444"/>
      <c r="AS33" s="444"/>
      <c r="AT33" s="444"/>
      <c r="AU33" s="444"/>
      <c r="AV33" s="444"/>
      <c r="AW33" s="444"/>
      <c r="AX33" s="444"/>
    </row>
    <row r="34" spans="2:50" x14ac:dyDescent="0.25">
      <c r="B34" s="9"/>
      <c r="C34" s="10"/>
      <c r="D34" s="10"/>
      <c r="E34" s="10"/>
      <c r="F34" s="10"/>
      <c r="G34" s="10"/>
      <c r="H34" s="10"/>
      <c r="I34" s="10"/>
      <c r="J34" s="10"/>
      <c r="K34" s="10"/>
      <c r="L34" s="6"/>
      <c r="M34" s="6"/>
      <c r="N34" s="6"/>
      <c r="O34" s="6"/>
      <c r="P34" s="6"/>
      <c r="Q34" s="6"/>
      <c r="R34" s="6"/>
      <c r="S34" s="434"/>
      <c r="T34" s="444"/>
      <c r="U34" s="444" t="s">
        <v>264</v>
      </c>
      <c r="V34" s="444"/>
      <c r="W34" s="444"/>
      <c r="X34" s="444"/>
      <c r="Y34" s="444"/>
      <c r="Z34" s="444"/>
      <c r="AA34" s="444"/>
      <c r="AB34" s="444"/>
      <c r="AC34" s="444"/>
      <c r="AD34" s="444"/>
      <c r="AE34" s="444"/>
      <c r="AF34" s="444"/>
      <c r="AG34" s="444"/>
      <c r="AH34" s="444"/>
      <c r="AI34" s="444"/>
      <c r="AJ34" s="444"/>
      <c r="AK34" s="444"/>
      <c r="AL34" s="444"/>
      <c r="AM34" s="444"/>
      <c r="AN34" s="444"/>
      <c r="AO34" s="444"/>
      <c r="AP34" s="444"/>
      <c r="AQ34" s="444"/>
      <c r="AR34" s="444"/>
      <c r="AS34" s="444"/>
      <c r="AT34" s="444"/>
      <c r="AU34" s="444"/>
      <c r="AV34" s="444"/>
      <c r="AW34" s="444"/>
      <c r="AX34" s="444"/>
    </row>
    <row r="35" spans="2:50" x14ac:dyDescent="0.25">
      <c r="B35" s="9"/>
      <c r="C35" s="10"/>
      <c r="D35" s="10"/>
      <c r="E35" s="10"/>
      <c r="F35" s="10"/>
      <c r="G35" s="10"/>
      <c r="H35" s="10"/>
      <c r="I35" s="10"/>
      <c r="J35" s="10"/>
      <c r="K35" s="10"/>
      <c r="L35" s="6"/>
      <c r="M35" s="6"/>
      <c r="N35" s="6"/>
      <c r="O35" s="6"/>
      <c r="P35" s="6"/>
      <c r="Q35" s="6"/>
      <c r="R35" s="6"/>
      <c r="S35" s="15"/>
      <c r="T35" s="444"/>
      <c r="U35" s="444" t="s">
        <v>228</v>
      </c>
      <c r="V35" s="444"/>
      <c r="W35" s="444"/>
      <c r="X35" s="444"/>
      <c r="Y35" s="444"/>
      <c r="Z35" s="444"/>
      <c r="AA35" s="444"/>
      <c r="AB35" s="444"/>
      <c r="AC35" s="444"/>
      <c r="AD35" s="444"/>
      <c r="AE35" s="444"/>
      <c r="AF35" s="444"/>
      <c r="AG35" s="444"/>
      <c r="AH35" s="444"/>
      <c r="AI35" s="444"/>
      <c r="AJ35" s="444"/>
      <c r="AK35" s="444"/>
      <c r="AL35" s="444"/>
      <c r="AM35" s="444"/>
      <c r="AN35" s="444"/>
      <c r="AO35" s="444"/>
      <c r="AP35" s="444"/>
      <c r="AQ35" s="444"/>
      <c r="AR35" s="444"/>
      <c r="AS35" s="444"/>
      <c r="AT35" s="444"/>
      <c r="AU35" s="444"/>
      <c r="AV35" s="444"/>
      <c r="AW35" s="444"/>
      <c r="AX35" s="444"/>
    </row>
    <row r="36" spans="2:50" x14ac:dyDescent="0.25">
      <c r="B36" s="9"/>
      <c r="C36" s="10"/>
      <c r="D36" s="10"/>
      <c r="E36" s="10"/>
      <c r="F36" s="10"/>
      <c r="G36" s="10"/>
      <c r="H36" s="10"/>
      <c r="I36" s="10"/>
      <c r="J36" s="10"/>
      <c r="K36" s="274" t="s">
        <v>221</v>
      </c>
      <c r="L36" s="274"/>
      <c r="M36" s="274"/>
      <c r="N36" s="6"/>
      <c r="O36" s="6"/>
      <c r="P36" s="6"/>
      <c r="Q36" s="6"/>
      <c r="R36" s="6"/>
      <c r="S36" s="15"/>
      <c r="T36" s="444"/>
      <c r="U36" s="444"/>
      <c r="V36" s="444"/>
      <c r="W36" s="444"/>
      <c r="X36" s="444"/>
      <c r="Y36" s="444"/>
      <c r="Z36" s="444"/>
      <c r="AA36" s="444"/>
      <c r="AB36" s="444"/>
      <c r="AC36" s="444"/>
      <c r="AD36" s="444"/>
      <c r="AE36" s="444"/>
      <c r="AF36" s="444"/>
      <c r="AG36" s="444"/>
      <c r="AH36" s="444"/>
      <c r="AI36" s="444"/>
      <c r="AJ36" s="444"/>
      <c r="AK36" s="444"/>
      <c r="AL36" s="444"/>
      <c r="AM36" s="444"/>
      <c r="AN36" s="444"/>
      <c r="AO36" s="444"/>
      <c r="AP36" s="444"/>
      <c r="AQ36" s="444"/>
      <c r="AR36" s="444"/>
      <c r="AS36" s="444"/>
      <c r="AT36" s="444"/>
      <c r="AU36" s="444"/>
      <c r="AV36" s="444"/>
      <c r="AW36" s="444"/>
      <c r="AX36" s="444"/>
    </row>
    <row r="37" spans="2:50" x14ac:dyDescent="0.25">
      <c r="B37" s="9"/>
      <c r="C37" s="10"/>
      <c r="D37" s="406" t="s">
        <v>60</v>
      </c>
      <c r="E37" s="410"/>
      <c r="F37" s="412"/>
      <c r="G37" s="41"/>
      <c r="H37" s="406" t="s">
        <v>67</v>
      </c>
      <c r="J37" s="409"/>
      <c r="K37" s="573" t="s">
        <v>246</v>
      </c>
      <c r="L37" s="574"/>
      <c r="M37" s="575"/>
      <c r="N37" s="6"/>
      <c r="O37" s="6"/>
      <c r="P37" s="43" t="str">
        <f>IF(O39&gt;60,"","Snow load of 0.75kN/m2 applies.")</f>
        <v/>
      </c>
      <c r="Q37" s="10"/>
      <c r="R37" s="10"/>
      <c r="S37" s="435"/>
      <c r="T37" s="444"/>
      <c r="U37" s="444"/>
      <c r="V37" s="444"/>
      <c r="W37" s="444"/>
      <c r="X37" s="444"/>
      <c r="Y37" s="444"/>
      <c r="Z37" s="444"/>
      <c r="AA37" s="444"/>
      <c r="AB37" s="444"/>
      <c r="AC37" s="444"/>
      <c r="AD37" s="444"/>
      <c r="AE37" s="444"/>
      <c r="AF37" s="444"/>
      <c r="AG37" s="444"/>
      <c r="AH37" s="444"/>
      <c r="AI37" s="444"/>
      <c r="AJ37" s="444"/>
      <c r="AK37" s="444"/>
      <c r="AL37" s="444"/>
      <c r="AM37" s="444"/>
      <c r="AN37" s="444"/>
      <c r="AO37" s="444"/>
      <c r="AP37" s="444"/>
      <c r="AQ37" s="444"/>
      <c r="AR37" s="444"/>
      <c r="AS37" s="444"/>
      <c r="AT37" s="444"/>
      <c r="AU37" s="444"/>
      <c r="AV37" s="444"/>
      <c r="AW37" s="444"/>
      <c r="AX37" s="444"/>
    </row>
    <row r="38" spans="2:50" x14ac:dyDescent="0.25">
      <c r="B38" s="9"/>
      <c r="C38" s="10"/>
      <c r="D38" s="10"/>
      <c r="E38" s="10"/>
      <c r="F38" s="10"/>
      <c r="G38" s="10"/>
      <c r="H38" s="409"/>
      <c r="I38" s="409"/>
      <c r="J38" s="409"/>
      <c r="K38" s="53"/>
      <c r="L38" s="53"/>
      <c r="M38" s="53"/>
      <c r="N38" s="53"/>
      <c r="O38" s="53"/>
      <c r="P38" s="53"/>
      <c r="Q38" s="29"/>
      <c r="R38" s="29"/>
      <c r="S38" s="15"/>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row>
    <row r="39" spans="2:50" x14ac:dyDescent="0.25">
      <c r="B39" s="9"/>
      <c r="C39" s="10"/>
      <c r="D39" s="428" t="s">
        <v>62</v>
      </c>
      <c r="E39" s="415"/>
      <c r="F39" s="436"/>
      <c r="G39" s="533" t="s">
        <v>79</v>
      </c>
      <c r="H39" s="534"/>
      <c r="I39" s="535"/>
      <c r="J39" s="416"/>
      <c r="K39" s="343"/>
      <c r="L39" s="31"/>
      <c r="M39" s="266"/>
      <c r="N39" s="416" t="s">
        <v>224</v>
      </c>
      <c r="O39" s="343">
        <v>90</v>
      </c>
      <c r="P39" s="344" t="s">
        <v>277</v>
      </c>
      <c r="Q39" s="345"/>
      <c r="R39" s="345"/>
      <c r="S39" s="15"/>
      <c r="T39" s="444"/>
      <c r="U39" s="444"/>
      <c r="V39" s="444"/>
      <c r="W39" s="444"/>
      <c r="X39" s="444"/>
      <c r="Y39" s="444"/>
      <c r="Z39" s="444"/>
      <c r="AA39" s="444"/>
      <c r="AB39" s="444"/>
      <c r="AC39" s="444"/>
      <c r="AD39" s="444"/>
      <c r="AE39" s="444"/>
      <c r="AF39" s="444"/>
      <c r="AG39" s="444"/>
      <c r="AH39" s="444"/>
      <c r="AI39" s="444"/>
      <c r="AJ39" s="444"/>
      <c r="AK39" s="444"/>
      <c r="AL39" s="444"/>
      <c r="AM39" s="444"/>
      <c r="AN39" s="444"/>
      <c r="AO39" s="444"/>
      <c r="AP39" s="444"/>
      <c r="AQ39" s="444"/>
      <c r="AR39" s="444"/>
      <c r="AS39" s="444"/>
      <c r="AT39" s="444"/>
      <c r="AU39" s="444"/>
      <c r="AV39" s="444"/>
      <c r="AW39" s="444"/>
      <c r="AX39" s="444"/>
    </row>
    <row r="40" spans="2:50" x14ac:dyDescent="0.25">
      <c r="B40" s="9"/>
      <c r="C40" s="10"/>
      <c r="D40" s="10"/>
      <c r="E40" s="33"/>
      <c r="F40" s="10"/>
      <c r="G40" s="346"/>
      <c r="H40" s="417"/>
      <c r="I40" s="416"/>
      <c r="J40" s="416"/>
      <c r="K40" s="53"/>
      <c r="L40" s="53"/>
      <c r="M40" s="10"/>
      <c r="N40" s="29"/>
      <c r="O40" s="29"/>
      <c r="P40" s="29"/>
      <c r="Q40" s="29"/>
      <c r="R40" s="10"/>
      <c r="S40" s="15"/>
      <c r="T40" s="444"/>
      <c r="U40" s="444"/>
      <c r="V40" s="444"/>
      <c r="W40" s="444"/>
      <c r="X40" s="444"/>
      <c r="Y40" s="444"/>
      <c r="Z40" s="444"/>
      <c r="AA40" s="444"/>
      <c r="AB40" s="444"/>
      <c r="AC40" s="444"/>
      <c r="AD40" s="444"/>
      <c r="AE40" s="444"/>
      <c r="AF40" s="444"/>
      <c r="AG40" s="444"/>
      <c r="AH40" s="444"/>
      <c r="AI40" s="444"/>
      <c r="AJ40" s="444"/>
      <c r="AK40" s="444"/>
      <c r="AL40" s="444"/>
      <c r="AM40" s="444"/>
      <c r="AN40" s="444"/>
      <c r="AO40" s="444"/>
      <c r="AP40" s="444"/>
      <c r="AQ40" s="444"/>
      <c r="AR40" s="444"/>
      <c r="AS40" s="444"/>
      <c r="AT40" s="444"/>
      <c r="AU40" s="444"/>
      <c r="AV40" s="444"/>
      <c r="AW40" s="444"/>
      <c r="AX40" s="444"/>
    </row>
    <row r="41" spans="2:50" x14ac:dyDescent="0.25">
      <c r="B41" s="9"/>
      <c r="C41" s="10"/>
      <c r="D41" s="417" t="s">
        <v>64</v>
      </c>
      <c r="E41" s="417"/>
      <c r="F41" s="427"/>
      <c r="G41" s="41"/>
      <c r="H41" s="417" t="s">
        <v>65</v>
      </c>
      <c r="I41" s="416"/>
      <c r="J41" s="416"/>
      <c r="K41" s="417" t="s">
        <v>278</v>
      </c>
      <c r="L41" s="415"/>
      <c r="M41" s="33"/>
      <c r="N41" s="33"/>
      <c r="O41" s="33"/>
      <c r="P41" s="29"/>
      <c r="Q41" s="277">
        <f>IF(G39=U44,K39,ABS('BS6399-2 Standard Method'!L56))</f>
        <v>0</v>
      </c>
      <c r="R41" s="345" t="s">
        <v>67</v>
      </c>
      <c r="S41" s="15"/>
      <c r="T41" s="444"/>
      <c r="U41" s="444"/>
      <c r="V41" s="444"/>
      <c r="W41" s="444"/>
      <c r="X41" s="444"/>
      <c r="Y41" s="444"/>
      <c r="Z41" s="444"/>
      <c r="AA41" s="444"/>
      <c r="AB41" s="444"/>
      <c r="AC41" s="444"/>
      <c r="AD41" s="444"/>
      <c r="AE41" s="444"/>
      <c r="AF41" s="444"/>
      <c r="AG41" s="444"/>
      <c r="AH41" s="444"/>
      <c r="AI41" s="444"/>
      <c r="AJ41" s="444"/>
      <c r="AK41" s="444"/>
      <c r="AL41" s="444"/>
      <c r="AM41" s="444"/>
      <c r="AN41" s="444"/>
      <c r="AO41" s="444"/>
      <c r="AP41" s="444"/>
      <c r="AQ41" s="444"/>
      <c r="AR41" s="444"/>
      <c r="AS41" s="444"/>
      <c r="AT41" s="444"/>
      <c r="AU41" s="444"/>
      <c r="AV41" s="444"/>
      <c r="AW41" s="444"/>
      <c r="AX41" s="444"/>
    </row>
    <row r="42" spans="2:50" x14ac:dyDescent="0.25">
      <c r="B42" s="9"/>
      <c r="C42" s="10"/>
      <c r="D42" s="10"/>
      <c r="E42" s="33"/>
      <c r="F42" s="10"/>
      <c r="G42" s="346"/>
      <c r="H42" s="417"/>
      <c r="I42" s="416"/>
      <c r="J42" s="416"/>
      <c r="K42" s="53"/>
      <c r="L42" s="53"/>
      <c r="M42" s="10"/>
      <c r="N42" s="53"/>
      <c r="O42" s="29"/>
      <c r="P42" s="29"/>
      <c r="Q42" s="29"/>
      <c r="R42" s="29"/>
      <c r="S42" s="15"/>
      <c r="T42" s="444"/>
      <c r="U42" s="444"/>
      <c r="V42" s="444"/>
      <c r="W42" s="444"/>
      <c r="X42" s="444"/>
      <c r="Y42" s="444"/>
      <c r="Z42" s="444"/>
      <c r="AA42" s="444"/>
      <c r="AB42" s="444"/>
      <c r="AC42" s="444"/>
      <c r="AD42" s="444"/>
      <c r="AE42" s="444"/>
      <c r="AF42" s="444"/>
      <c r="AG42" s="444"/>
      <c r="AH42" s="444"/>
      <c r="AI42" s="444"/>
      <c r="AJ42" s="444"/>
      <c r="AK42" s="444"/>
      <c r="AL42" s="444"/>
      <c r="AM42" s="444"/>
      <c r="AN42" s="444"/>
      <c r="AO42" s="444"/>
      <c r="AP42" s="444"/>
      <c r="AQ42" s="444"/>
      <c r="AR42" s="444"/>
      <c r="AS42" s="444"/>
      <c r="AT42" s="444"/>
      <c r="AU42" s="444"/>
      <c r="AV42" s="444"/>
      <c r="AW42" s="444"/>
      <c r="AX42" s="444"/>
    </row>
    <row r="43" spans="2:50" x14ac:dyDescent="0.25">
      <c r="B43" s="9"/>
      <c r="C43" s="410"/>
      <c r="D43" s="417" t="s">
        <v>68</v>
      </c>
      <c r="E43" s="417"/>
      <c r="F43" s="427"/>
      <c r="G43" s="41"/>
      <c r="H43" s="417" t="s">
        <v>65</v>
      </c>
      <c r="I43" s="416"/>
      <c r="J43" s="416"/>
      <c r="K43" s="274" t="s">
        <v>226</v>
      </c>
      <c r="L43" s="274"/>
      <c r="M43" s="274"/>
      <c r="N43" s="250"/>
      <c r="O43" s="250"/>
      <c r="P43" s="417" t="s">
        <v>227</v>
      </c>
      <c r="Q43" s="417"/>
      <c r="R43" s="29"/>
      <c r="S43" s="15"/>
      <c r="T43" s="444"/>
      <c r="U43" s="444"/>
      <c r="V43" s="444"/>
      <c r="W43" s="444"/>
      <c r="X43" s="444"/>
      <c r="Y43" s="444"/>
      <c r="Z43" s="444"/>
      <c r="AA43" s="444"/>
      <c r="AB43" s="444"/>
      <c r="AC43" s="444"/>
      <c r="AD43" s="444"/>
      <c r="AE43" s="444"/>
      <c r="AF43" s="444"/>
      <c r="AG43" s="444"/>
      <c r="AH43" s="444"/>
      <c r="AI43" s="444"/>
      <c r="AJ43" s="444"/>
      <c r="AK43" s="444"/>
      <c r="AL43" s="444"/>
      <c r="AM43" s="444"/>
      <c r="AN43" s="444"/>
      <c r="AO43" s="444"/>
      <c r="AP43" s="444"/>
      <c r="AQ43" s="444"/>
      <c r="AR43" s="444"/>
      <c r="AS43" s="444"/>
      <c r="AT43" s="444"/>
      <c r="AU43" s="444"/>
      <c r="AV43" s="444"/>
      <c r="AW43" s="444"/>
      <c r="AX43" s="444"/>
    </row>
    <row r="44" spans="2:50" x14ac:dyDescent="0.25">
      <c r="B44" s="9"/>
      <c r="C44" s="10"/>
      <c r="D44" s="10"/>
      <c r="E44" s="33"/>
      <c r="F44" s="10"/>
      <c r="G44" s="346"/>
      <c r="H44" s="417"/>
      <c r="I44" s="416"/>
      <c r="J44" s="416"/>
      <c r="K44" s="573" t="s">
        <v>244</v>
      </c>
      <c r="L44" s="574"/>
      <c r="M44" s="575"/>
      <c r="N44" s="53"/>
      <c r="O44" s="250"/>
      <c r="P44" s="533" t="s">
        <v>264</v>
      </c>
      <c r="Q44" s="534"/>
      <c r="R44" s="535"/>
      <c r="S44" s="15"/>
      <c r="T44" s="444"/>
      <c r="U44" s="444" t="s">
        <v>79</v>
      </c>
      <c r="V44" s="444"/>
      <c r="W44" s="444"/>
      <c r="X44" s="444"/>
      <c r="Y44" s="444"/>
      <c r="Z44" s="444"/>
      <c r="AA44" s="444"/>
      <c r="AB44" s="444"/>
      <c r="AC44" s="444"/>
      <c r="AD44" s="444"/>
      <c r="AE44" s="444"/>
      <c r="AF44" s="444"/>
      <c r="AG44" s="444"/>
      <c r="AH44" s="444"/>
      <c r="AI44" s="444"/>
      <c r="AJ44" s="444"/>
      <c r="AK44" s="444"/>
      <c r="AL44" s="444"/>
      <c r="AM44" s="444"/>
      <c r="AN44" s="444"/>
      <c r="AO44" s="444"/>
      <c r="AP44" s="444"/>
      <c r="AQ44" s="444"/>
      <c r="AR44" s="444"/>
      <c r="AS44" s="444"/>
      <c r="AT44" s="444"/>
      <c r="AU44" s="444"/>
      <c r="AV44" s="444"/>
      <c r="AW44" s="444"/>
      <c r="AX44" s="444"/>
    </row>
    <row r="45" spans="2:50" x14ac:dyDescent="0.25">
      <c r="B45" s="9"/>
      <c r="C45" s="10"/>
      <c r="D45" s="417" t="s">
        <v>194</v>
      </c>
      <c r="E45" s="417"/>
      <c r="F45" s="427"/>
      <c r="G45" s="41"/>
      <c r="H45" s="417" t="s">
        <v>65</v>
      </c>
      <c r="I45" s="416"/>
      <c r="J45" s="416"/>
      <c r="K45" s="10"/>
      <c r="L45" s="10"/>
      <c r="M45" s="437"/>
      <c r="N45" s="10"/>
      <c r="O45" s="250"/>
      <c r="P45" s="250"/>
      <c r="Q45" s="10"/>
      <c r="R45" s="10"/>
      <c r="S45" s="279"/>
      <c r="T45" s="444"/>
      <c r="U45" s="444" t="s">
        <v>211</v>
      </c>
      <c r="V45" s="444"/>
      <c r="W45" s="444"/>
      <c r="X45" s="444"/>
      <c r="Y45" s="444"/>
      <c r="Z45" s="444"/>
      <c r="AA45" s="444"/>
      <c r="AB45" s="444"/>
      <c r="AC45" s="444"/>
      <c r="AD45" s="444"/>
      <c r="AE45" s="444"/>
      <c r="AF45" s="444"/>
      <c r="AG45" s="444"/>
      <c r="AH45" s="444"/>
      <c r="AI45" s="444"/>
      <c r="AJ45" s="444"/>
      <c r="AK45" s="444"/>
      <c r="AL45" s="444"/>
      <c r="AM45" s="444"/>
      <c r="AN45" s="444"/>
      <c r="AO45" s="444"/>
      <c r="AP45" s="444"/>
      <c r="AQ45" s="444"/>
      <c r="AR45" s="444"/>
      <c r="AS45" s="444"/>
      <c r="AT45" s="444"/>
      <c r="AU45" s="444"/>
      <c r="AV45" s="444"/>
      <c r="AW45" s="444"/>
      <c r="AX45" s="444"/>
    </row>
    <row r="46" spans="2:50" x14ac:dyDescent="0.25">
      <c r="B46" s="9"/>
      <c r="C46" s="10"/>
      <c r="D46" s="10"/>
      <c r="E46" s="10"/>
      <c r="F46" s="10"/>
      <c r="G46" s="346"/>
      <c r="H46" s="417"/>
      <c r="I46" s="416"/>
      <c r="J46" s="416"/>
      <c r="K46" s="10"/>
      <c r="L46" s="6"/>
      <c r="M46" s="6"/>
      <c r="N46" s="6"/>
      <c r="O46" s="6"/>
      <c r="P46" s="6"/>
      <c r="Q46" s="6"/>
      <c r="R46" s="6"/>
      <c r="S46" s="28"/>
      <c r="T46" s="444"/>
      <c r="U46" s="444"/>
      <c r="V46" s="444"/>
      <c r="W46" s="444"/>
      <c r="X46" s="444"/>
      <c r="Y46" s="444"/>
      <c r="Z46" s="444"/>
      <c r="AA46" s="444"/>
      <c r="AB46" s="444"/>
      <c r="AC46" s="444"/>
      <c r="AD46" s="444"/>
      <c r="AE46" s="444"/>
      <c r="AF46" s="444"/>
      <c r="AG46" s="444"/>
      <c r="AH46" s="444"/>
      <c r="AI46" s="444"/>
      <c r="AJ46" s="444"/>
      <c r="AK46" s="444"/>
      <c r="AL46" s="444"/>
      <c r="AM46" s="444"/>
      <c r="AN46" s="444"/>
      <c r="AO46" s="444"/>
      <c r="AP46" s="444"/>
      <c r="AQ46" s="444"/>
      <c r="AR46" s="444"/>
      <c r="AS46" s="444"/>
      <c r="AT46" s="444"/>
      <c r="AU46" s="444"/>
      <c r="AV46" s="444"/>
      <c r="AW46" s="444"/>
      <c r="AX46" s="444"/>
    </row>
    <row r="47" spans="2:50" x14ac:dyDescent="0.25">
      <c r="B47" s="9"/>
      <c r="C47" s="10"/>
      <c r="D47" s="417" t="s">
        <v>196</v>
      </c>
      <c r="E47" s="417"/>
      <c r="F47" s="427"/>
      <c r="G47" s="41"/>
      <c r="H47" s="417" t="s">
        <v>65</v>
      </c>
      <c r="I47" s="416"/>
      <c r="J47" s="416"/>
      <c r="K47" s="10"/>
      <c r="L47" s="6"/>
      <c r="M47" s="6"/>
      <c r="N47" s="6"/>
      <c r="O47" s="6"/>
      <c r="P47" s="6"/>
      <c r="Q47" s="6"/>
      <c r="R47" s="6"/>
      <c r="S47" s="28"/>
      <c r="T47" s="444"/>
      <c r="U47" s="444" t="s">
        <v>243</v>
      </c>
      <c r="V47" s="444"/>
      <c r="W47" s="444"/>
      <c r="X47" s="444"/>
      <c r="Y47" s="444"/>
      <c r="Z47" s="444"/>
      <c r="AA47" s="444"/>
      <c r="AB47" s="444"/>
      <c r="AC47" s="444"/>
      <c r="AD47" s="444"/>
      <c r="AE47" s="444"/>
      <c r="AF47" s="444"/>
      <c r="AG47" s="444"/>
      <c r="AH47" s="444"/>
      <c r="AI47" s="444"/>
      <c r="AJ47" s="444"/>
      <c r="AK47" s="444"/>
      <c r="AL47" s="444"/>
      <c r="AM47" s="444"/>
      <c r="AN47" s="444"/>
      <c r="AO47" s="444"/>
      <c r="AP47" s="444"/>
      <c r="AQ47" s="444"/>
      <c r="AR47" s="444"/>
      <c r="AS47" s="444"/>
      <c r="AT47" s="444"/>
      <c r="AU47" s="444"/>
      <c r="AV47" s="444"/>
      <c r="AW47" s="444"/>
      <c r="AX47" s="444"/>
    </row>
    <row r="48" spans="2:50" x14ac:dyDescent="0.25">
      <c r="B48" s="9"/>
      <c r="C48" s="10"/>
      <c r="D48" s="10"/>
      <c r="E48" s="10"/>
      <c r="F48" s="10"/>
      <c r="G48" s="10"/>
      <c r="H48" s="266"/>
      <c r="I48" s="10"/>
      <c r="J48" s="416"/>
      <c r="K48" s="10"/>
      <c r="L48" s="6"/>
      <c r="M48" s="6"/>
      <c r="N48" s="6"/>
      <c r="O48" s="6"/>
      <c r="P48" s="6"/>
      <c r="Q48" s="6"/>
      <c r="R48" s="6"/>
      <c r="S48" s="28"/>
      <c r="T48" s="444"/>
      <c r="U48" s="444" t="s">
        <v>291</v>
      </c>
      <c r="V48" s="444"/>
      <c r="W48" s="444"/>
      <c r="X48" s="444"/>
      <c r="Y48" s="444"/>
      <c r="Z48" s="444"/>
      <c r="AA48" s="444"/>
      <c r="AB48" s="444"/>
      <c r="AC48" s="444"/>
      <c r="AD48" s="444"/>
      <c r="AE48" s="444"/>
      <c r="AF48" s="444"/>
      <c r="AG48" s="444"/>
      <c r="AH48" s="444"/>
      <c r="AI48" s="444"/>
      <c r="AJ48" s="444"/>
      <c r="AK48" s="444"/>
      <c r="AL48" s="444"/>
      <c r="AM48" s="444"/>
      <c r="AN48" s="444"/>
      <c r="AO48" s="444"/>
      <c r="AP48" s="444"/>
      <c r="AQ48" s="444"/>
      <c r="AR48" s="444"/>
      <c r="AS48" s="444"/>
      <c r="AT48" s="444"/>
      <c r="AU48" s="444"/>
      <c r="AV48" s="444"/>
      <c r="AW48" s="444"/>
      <c r="AX48" s="444"/>
    </row>
    <row r="49" spans="2:50" ht="18.75" x14ac:dyDescent="0.3">
      <c r="B49" s="9"/>
      <c r="C49" s="10"/>
      <c r="D49" s="417" t="s">
        <v>229</v>
      </c>
      <c r="E49" s="415"/>
      <c r="F49" s="53"/>
      <c r="G49" s="600" t="s">
        <v>230</v>
      </c>
      <c r="H49" s="601"/>
      <c r="I49" s="602"/>
      <c r="J49" s="416"/>
      <c r="K49" s="576" t="s">
        <v>71</v>
      </c>
      <c r="L49" s="576"/>
      <c r="M49" s="576"/>
      <c r="N49" s="6"/>
      <c r="O49" s="280" t="e">
        <f>AH19</f>
        <v>#DIV/0!</v>
      </c>
      <c r="P49" s="280"/>
      <c r="Q49" s="280"/>
      <c r="R49" s="10"/>
      <c r="S49" s="347"/>
      <c r="T49" s="444"/>
      <c r="U49" s="444" t="s">
        <v>230</v>
      </c>
      <c r="V49" s="444"/>
      <c r="W49" s="444"/>
      <c r="X49" s="444"/>
      <c r="Y49" s="444"/>
      <c r="Z49" s="444"/>
      <c r="AA49" s="444"/>
      <c r="AB49" s="444"/>
      <c r="AC49" s="444"/>
      <c r="AD49" s="444"/>
      <c r="AE49" s="444"/>
      <c r="AF49" s="444"/>
      <c r="AG49" s="444"/>
      <c r="AH49" s="444"/>
      <c r="AI49" s="444"/>
      <c r="AJ49" s="444"/>
      <c r="AK49" s="444"/>
      <c r="AL49" s="444"/>
      <c r="AM49" s="444"/>
      <c r="AN49" s="444"/>
      <c r="AO49" s="444"/>
      <c r="AP49" s="444"/>
      <c r="AQ49" s="444"/>
      <c r="AR49" s="444"/>
      <c r="AS49" s="444"/>
      <c r="AT49" s="444"/>
      <c r="AU49" s="444"/>
      <c r="AV49" s="444"/>
      <c r="AW49" s="444"/>
      <c r="AX49" s="444"/>
    </row>
    <row r="50" spans="2:50" x14ac:dyDescent="0.25">
      <c r="B50" s="9"/>
      <c r="C50" s="10"/>
      <c r="D50" s="33"/>
      <c r="E50" s="33"/>
      <c r="F50" s="10"/>
      <c r="G50" s="417"/>
      <c r="H50" s="438"/>
      <c r="I50" s="416"/>
      <c r="J50" s="416"/>
      <c r="K50" s="51"/>
      <c r="L50" s="51"/>
      <c r="M50" s="51"/>
      <c r="N50" s="6"/>
      <c r="O50" s="52"/>
      <c r="P50" s="51"/>
      <c r="Q50" s="10"/>
      <c r="R50" s="10"/>
      <c r="S50" s="15"/>
      <c r="T50" s="444"/>
      <c r="U50" s="444" t="s">
        <v>246</v>
      </c>
      <c r="V50" s="444"/>
      <c r="W50" s="444"/>
      <c r="X50" s="444"/>
      <c r="Y50" s="444"/>
      <c r="Z50" s="444"/>
      <c r="AA50" s="444"/>
      <c r="AB50" s="444"/>
      <c r="AC50" s="444"/>
      <c r="AD50" s="444"/>
      <c r="AE50" s="444"/>
      <c r="AF50" s="444"/>
      <c r="AG50" s="444"/>
      <c r="AH50" s="444"/>
      <c r="AI50" s="444"/>
      <c r="AJ50" s="444"/>
      <c r="AK50" s="444"/>
      <c r="AL50" s="444"/>
      <c r="AM50" s="444"/>
      <c r="AN50" s="444"/>
      <c r="AO50" s="444"/>
      <c r="AP50" s="444"/>
      <c r="AQ50" s="444"/>
      <c r="AR50" s="444"/>
      <c r="AS50" s="444"/>
      <c r="AT50" s="444"/>
      <c r="AU50" s="444"/>
      <c r="AV50" s="444"/>
      <c r="AW50" s="444"/>
      <c r="AX50" s="444"/>
    </row>
    <row r="51" spans="2:50" x14ac:dyDescent="0.25">
      <c r="B51" s="9"/>
      <c r="C51" s="10"/>
      <c r="D51" s="31" t="s">
        <v>375</v>
      </c>
      <c r="E51" s="266"/>
      <c r="F51" s="266"/>
      <c r="G51" s="10"/>
      <c r="H51" s="10"/>
      <c r="I51" s="438"/>
      <c r="J51" s="416"/>
      <c r="K51" s="416" t="s">
        <v>72</v>
      </c>
      <c r="L51" s="436"/>
      <c r="M51" s="416"/>
      <c r="N51" s="6"/>
      <c r="O51" s="57" t="e">
        <f>AI19</f>
        <v>#DIV/0!</v>
      </c>
      <c r="P51" s="416" t="s">
        <v>16</v>
      </c>
      <c r="Q51" s="70"/>
      <c r="R51" s="70"/>
      <c r="S51" s="15"/>
      <c r="T51" s="444"/>
      <c r="U51" s="444" t="s">
        <v>223</v>
      </c>
      <c r="V51" s="444"/>
      <c r="W51" s="444"/>
      <c r="X51" s="444"/>
      <c r="Y51" s="444"/>
      <c r="Z51" s="444"/>
      <c r="AA51" s="444"/>
      <c r="AB51" s="444"/>
      <c r="AC51" s="444"/>
      <c r="AD51" s="444"/>
      <c r="AE51" s="444"/>
      <c r="AF51" s="444"/>
      <c r="AG51" s="444"/>
      <c r="AH51" s="444"/>
      <c r="AI51" s="444"/>
      <c r="AJ51" s="444"/>
      <c r="AK51" s="444"/>
      <c r="AL51" s="444"/>
      <c r="AM51" s="444"/>
      <c r="AN51" s="444"/>
      <c r="AO51" s="444"/>
      <c r="AP51" s="444"/>
      <c r="AQ51" s="444"/>
      <c r="AR51" s="444"/>
      <c r="AS51" s="444"/>
      <c r="AT51" s="444"/>
      <c r="AU51" s="444"/>
      <c r="AV51" s="444"/>
      <c r="AW51" s="444"/>
      <c r="AX51" s="444"/>
    </row>
    <row r="52" spans="2:50" x14ac:dyDescent="0.25">
      <c r="B52" s="9"/>
      <c r="C52" s="10"/>
      <c r="D52" s="429" t="s">
        <v>376</v>
      </c>
      <c r="E52" s="10"/>
      <c r="F52" s="50"/>
      <c r="G52" s="283">
        <f>W9*1000</f>
        <v>0</v>
      </c>
      <c r="H52" s="33" t="s">
        <v>65</v>
      </c>
      <c r="I52" s="416"/>
      <c r="J52" s="416"/>
      <c r="K52" s="436"/>
      <c r="L52" s="439"/>
      <c r="M52" s="439"/>
      <c r="N52" s="6"/>
      <c r="O52" s="439"/>
      <c r="P52" s="439"/>
      <c r="Q52" s="70"/>
      <c r="R52" s="437"/>
      <c r="S52" s="15"/>
      <c r="T52" s="444"/>
      <c r="U52" s="444" t="s">
        <v>247</v>
      </c>
      <c r="V52" s="444"/>
      <c r="W52" s="444"/>
      <c r="X52" s="444"/>
      <c r="Y52" s="444"/>
      <c r="Z52" s="444"/>
      <c r="AA52" s="444"/>
      <c r="AB52" s="444"/>
      <c r="AC52" s="444"/>
      <c r="AD52" s="444"/>
      <c r="AE52" s="444"/>
      <c r="AF52" s="444"/>
      <c r="AG52" s="444"/>
      <c r="AH52" s="444"/>
      <c r="AI52" s="444"/>
      <c r="AJ52" s="444"/>
      <c r="AK52" s="444"/>
      <c r="AL52" s="444"/>
      <c r="AM52" s="444"/>
      <c r="AN52" s="444"/>
      <c r="AO52" s="444"/>
      <c r="AP52" s="444"/>
      <c r="AQ52" s="444"/>
      <c r="AR52" s="444"/>
      <c r="AS52" s="444"/>
      <c r="AT52" s="444"/>
      <c r="AU52" s="444"/>
      <c r="AV52" s="444"/>
      <c r="AW52" s="444"/>
      <c r="AX52" s="444"/>
    </row>
    <row r="53" spans="2:50" x14ac:dyDescent="0.25">
      <c r="B53" s="9"/>
      <c r="C53" s="10"/>
      <c r="D53" s="10"/>
      <c r="E53" s="33"/>
      <c r="F53" s="33"/>
      <c r="G53" s="266"/>
      <c r="H53" s="10"/>
      <c r="I53" s="10"/>
      <c r="J53" s="10"/>
      <c r="K53" s="10" t="s">
        <v>73</v>
      </c>
      <c r="L53" s="416"/>
      <c r="M53" s="416"/>
      <c r="N53" s="6"/>
      <c r="O53" s="57" t="e">
        <f>IF(AI19="NA","NA",W23*1000)</f>
        <v>#DIV/0!</v>
      </c>
      <c r="P53" s="416" t="s">
        <v>65</v>
      </c>
      <c r="Q53" s="440" t="s">
        <v>21</v>
      </c>
      <c r="R53" s="441" t="e">
        <f>IF(AI19="NA","NA",W24)</f>
        <v>#DIV/0!</v>
      </c>
      <c r="S53" s="15"/>
      <c r="T53" s="444"/>
      <c r="U53" s="444"/>
      <c r="V53" s="444"/>
      <c r="W53" s="444"/>
      <c r="X53" s="444"/>
      <c r="Y53" s="444"/>
      <c r="Z53" s="444"/>
      <c r="AA53" s="444"/>
      <c r="AB53" s="444"/>
      <c r="AC53" s="444"/>
      <c r="AD53" s="444"/>
      <c r="AE53" s="444"/>
      <c r="AF53" s="444"/>
      <c r="AG53" s="444"/>
      <c r="AH53" s="444"/>
      <c r="AI53" s="444"/>
      <c r="AJ53" s="444"/>
      <c r="AK53" s="444"/>
      <c r="AL53" s="444"/>
      <c r="AM53" s="444"/>
      <c r="AN53" s="444"/>
      <c r="AO53" s="444"/>
      <c r="AP53" s="444"/>
      <c r="AQ53" s="444"/>
      <c r="AR53" s="444"/>
      <c r="AS53" s="444"/>
      <c r="AT53" s="444"/>
      <c r="AU53" s="444"/>
      <c r="AV53" s="444"/>
      <c r="AW53" s="444"/>
      <c r="AX53" s="444"/>
    </row>
    <row r="54" spans="2:50" x14ac:dyDescent="0.25">
      <c r="B54" s="9"/>
      <c r="C54" s="10"/>
      <c r="D54" s="10"/>
      <c r="E54" s="10"/>
      <c r="F54" s="10"/>
      <c r="G54" s="10"/>
      <c r="H54" s="10"/>
      <c r="I54" s="10"/>
      <c r="J54" s="10"/>
      <c r="K54" s="275"/>
      <c r="L54" s="436"/>
      <c r="M54" s="440"/>
      <c r="N54" s="6"/>
      <c r="O54" s="436"/>
      <c r="P54" s="441"/>
      <c r="Q54" s="439"/>
      <c r="R54" s="437"/>
      <c r="S54" s="442"/>
      <c r="T54" s="444"/>
      <c r="U54" s="444"/>
      <c r="V54" s="444"/>
      <c r="W54" s="444"/>
      <c r="X54" s="444"/>
      <c r="Y54" s="444"/>
      <c r="Z54" s="444"/>
      <c r="AA54" s="444"/>
      <c r="AB54" s="444"/>
      <c r="AC54" s="444"/>
      <c r="AD54" s="444"/>
      <c r="AE54" s="444"/>
      <c r="AF54" s="444"/>
      <c r="AG54" s="444"/>
      <c r="AH54" s="444"/>
      <c r="AI54" s="444"/>
      <c r="AJ54" s="444"/>
      <c r="AK54" s="444"/>
      <c r="AL54" s="444"/>
      <c r="AM54" s="444"/>
      <c r="AN54" s="444"/>
      <c r="AO54" s="444"/>
      <c r="AP54" s="444"/>
      <c r="AQ54" s="444"/>
      <c r="AR54" s="444"/>
      <c r="AS54" s="444"/>
      <c r="AT54" s="444"/>
      <c r="AU54" s="444"/>
      <c r="AV54" s="444"/>
      <c r="AW54" s="444"/>
      <c r="AX54" s="444"/>
    </row>
    <row r="55" spans="2:50" x14ac:dyDescent="0.25">
      <c r="B55" s="9"/>
      <c r="C55" s="10"/>
      <c r="D55" s="10"/>
      <c r="E55" s="10"/>
      <c r="F55" s="10"/>
      <c r="G55" s="10"/>
      <c r="H55" s="10"/>
      <c r="I55" s="10"/>
      <c r="J55" s="10"/>
      <c r="K55" s="10"/>
      <c r="L55" s="10"/>
      <c r="M55" s="10"/>
      <c r="N55" s="6"/>
      <c r="O55" s="416" t="s">
        <v>74</v>
      </c>
      <c r="P55" s="10"/>
      <c r="Q55" s="416" t="s">
        <v>75</v>
      </c>
      <c r="R55" s="10"/>
      <c r="S55" s="15"/>
      <c r="T55" s="444"/>
      <c r="U55" s="444"/>
      <c r="V55" s="444"/>
      <c r="W55" s="444"/>
      <c r="X55" s="444"/>
      <c r="Y55" s="444"/>
      <c r="Z55" s="444"/>
      <c r="AA55" s="444"/>
      <c r="AB55" s="444"/>
      <c r="AC55" s="444"/>
      <c r="AD55" s="444"/>
      <c r="AE55" s="444"/>
      <c r="AF55" s="444"/>
      <c r="AG55" s="444"/>
      <c r="AH55" s="444"/>
      <c r="AI55" s="444"/>
      <c r="AJ55" s="444"/>
      <c r="AK55" s="444"/>
      <c r="AL55" s="444"/>
      <c r="AM55" s="444"/>
      <c r="AN55" s="444"/>
      <c r="AO55" s="444"/>
      <c r="AP55" s="444"/>
      <c r="AQ55" s="444"/>
      <c r="AR55" s="444"/>
      <c r="AS55" s="444"/>
      <c r="AT55" s="444"/>
      <c r="AU55" s="444"/>
      <c r="AV55" s="444"/>
      <c r="AW55" s="444"/>
      <c r="AX55" s="444"/>
    </row>
    <row r="56" spans="2:50" x14ac:dyDescent="0.25">
      <c r="B56" s="9"/>
      <c r="C56" s="10"/>
      <c r="D56" s="10"/>
      <c r="E56" s="10"/>
      <c r="F56" s="10"/>
      <c r="G56" s="10"/>
      <c r="H56" s="10"/>
      <c r="I56" s="10"/>
      <c r="J56" s="10"/>
      <c r="K56" s="416" t="s">
        <v>280</v>
      </c>
      <c r="L56" s="416"/>
      <c r="M56" s="10"/>
      <c r="N56" s="6"/>
      <c r="O56" s="57" t="e">
        <f>X25/1000</f>
        <v>#DIV/0!</v>
      </c>
      <c r="P56" s="10" t="s">
        <v>77</v>
      </c>
      <c r="Q56" s="57">
        <f>Y25/1000</f>
        <v>0</v>
      </c>
      <c r="R56" s="409" t="s">
        <v>77</v>
      </c>
      <c r="S56" s="15"/>
      <c r="T56" s="444"/>
      <c r="U56" s="444"/>
      <c r="V56" s="444"/>
      <c r="W56" s="444"/>
      <c r="X56" s="444"/>
      <c r="Y56" s="444"/>
      <c r="Z56" s="444"/>
      <c r="AA56" s="444"/>
      <c r="AB56" s="444"/>
      <c r="AC56" s="444"/>
      <c r="AD56" s="444"/>
      <c r="AE56" s="444"/>
      <c r="AF56" s="444"/>
      <c r="AG56" s="444"/>
      <c r="AH56" s="444"/>
      <c r="AI56" s="444"/>
      <c r="AJ56" s="444"/>
      <c r="AK56" s="444"/>
      <c r="AL56" s="444"/>
      <c r="AM56" s="444"/>
      <c r="AN56" s="444"/>
      <c r="AO56" s="444"/>
      <c r="AP56" s="444"/>
      <c r="AQ56" s="444"/>
      <c r="AR56" s="444"/>
      <c r="AS56" s="444"/>
      <c r="AT56" s="444"/>
      <c r="AU56" s="444"/>
      <c r="AV56" s="444"/>
      <c r="AW56" s="444"/>
      <c r="AX56" s="444"/>
    </row>
    <row r="57" spans="2:50" x14ac:dyDescent="0.25">
      <c r="B57" s="9"/>
      <c r="C57" s="10"/>
      <c r="D57" s="10"/>
      <c r="E57" s="10"/>
      <c r="F57" s="10"/>
      <c r="G57" s="10"/>
      <c r="H57" s="10"/>
      <c r="I57" s="10"/>
      <c r="J57" s="10"/>
      <c r="K57" s="416"/>
      <c r="L57" s="416"/>
      <c r="M57" s="10"/>
      <c r="N57" s="6"/>
      <c r="O57" s="416"/>
      <c r="P57" s="10"/>
      <c r="Q57" s="416"/>
      <c r="R57" s="409"/>
      <c r="S57" s="15"/>
      <c r="T57" s="444"/>
      <c r="U57" s="444"/>
      <c r="V57" s="444"/>
      <c r="W57" s="444"/>
      <c r="X57" s="444"/>
      <c r="Y57" s="444"/>
      <c r="Z57" s="444"/>
      <c r="AA57" s="444"/>
      <c r="AB57" s="444"/>
      <c r="AC57" s="444"/>
      <c r="AD57" s="444"/>
      <c r="AE57" s="444"/>
      <c r="AF57" s="444"/>
      <c r="AG57" s="444"/>
      <c r="AH57" s="444"/>
      <c r="AI57" s="444"/>
      <c r="AJ57" s="444"/>
      <c r="AK57" s="444"/>
      <c r="AL57" s="444"/>
      <c r="AM57" s="444"/>
      <c r="AN57" s="444"/>
      <c r="AO57" s="444"/>
      <c r="AP57" s="444"/>
      <c r="AQ57" s="444"/>
      <c r="AR57" s="444"/>
      <c r="AS57" s="444"/>
      <c r="AT57" s="444"/>
      <c r="AU57" s="444"/>
      <c r="AV57" s="444"/>
      <c r="AW57" s="444"/>
      <c r="AX57" s="444"/>
    </row>
    <row r="58" spans="2:50" x14ac:dyDescent="0.25">
      <c r="B58" s="9"/>
      <c r="C58" s="10"/>
      <c r="D58" s="10"/>
      <c r="E58" s="10"/>
      <c r="F58" s="10"/>
      <c r="G58" s="10"/>
      <c r="H58" s="10"/>
      <c r="I58" s="10"/>
      <c r="J58" s="10"/>
      <c r="K58" s="416" t="s">
        <v>281</v>
      </c>
      <c r="L58" s="416"/>
      <c r="M58" s="39"/>
      <c r="N58" s="6"/>
      <c r="O58" s="57" t="e">
        <f>X26/1000</f>
        <v>#DIV/0!</v>
      </c>
      <c r="P58" s="10" t="s">
        <v>77</v>
      </c>
      <c r="Q58" s="57">
        <f>Y26/1000</f>
        <v>0</v>
      </c>
      <c r="R58" s="409" t="s">
        <v>77</v>
      </c>
      <c r="S58" s="15"/>
      <c r="T58" s="444"/>
      <c r="U58" s="444"/>
      <c r="V58" s="444"/>
      <c r="W58" s="444"/>
      <c r="X58" s="444"/>
      <c r="Y58" s="444"/>
      <c r="Z58" s="444"/>
      <c r="AA58" s="444"/>
      <c r="AB58" s="444"/>
      <c r="AC58" s="444"/>
      <c r="AD58" s="444"/>
      <c r="AE58" s="444"/>
      <c r="AF58" s="444"/>
      <c r="AG58" s="444"/>
      <c r="AH58" s="444"/>
      <c r="AI58" s="444"/>
      <c r="AJ58" s="444"/>
      <c r="AK58" s="444"/>
      <c r="AL58" s="444"/>
      <c r="AM58" s="444"/>
      <c r="AN58" s="444"/>
      <c r="AO58" s="444"/>
      <c r="AP58" s="444"/>
      <c r="AQ58" s="444"/>
      <c r="AR58" s="444"/>
      <c r="AS58" s="444"/>
      <c r="AT58" s="444"/>
      <c r="AU58" s="444"/>
      <c r="AV58" s="444"/>
      <c r="AW58" s="444"/>
      <c r="AX58" s="444"/>
    </row>
    <row r="59" spans="2:50" x14ac:dyDescent="0.25">
      <c r="B59" s="9"/>
      <c r="C59" s="10"/>
      <c r="D59" s="10"/>
      <c r="E59" s="10"/>
      <c r="F59" s="10"/>
      <c r="G59" s="10"/>
      <c r="H59" s="10"/>
      <c r="I59" s="10"/>
      <c r="J59" s="10"/>
      <c r="K59" s="416"/>
      <c r="L59" s="416"/>
      <c r="M59" s="10"/>
      <c r="N59" s="6"/>
      <c r="O59" s="416"/>
      <c r="P59" s="10"/>
      <c r="Q59" s="416"/>
      <c r="R59" s="409"/>
      <c r="S59" s="15"/>
      <c r="T59" s="444"/>
      <c r="U59" s="444"/>
      <c r="V59" s="444"/>
      <c r="W59" s="444"/>
      <c r="X59" s="444"/>
      <c r="Y59" s="444"/>
      <c r="Z59" s="444"/>
      <c r="AA59" s="444"/>
      <c r="AB59" s="444"/>
      <c r="AC59" s="444"/>
      <c r="AD59" s="444"/>
      <c r="AE59" s="444"/>
      <c r="AF59" s="444"/>
      <c r="AG59" s="444"/>
      <c r="AH59" s="444"/>
      <c r="AI59" s="444"/>
      <c r="AJ59" s="444"/>
      <c r="AK59" s="444"/>
      <c r="AL59" s="444"/>
      <c r="AM59" s="444"/>
      <c r="AN59" s="444"/>
      <c r="AO59" s="444"/>
      <c r="AP59" s="444"/>
      <c r="AQ59" s="444"/>
      <c r="AR59" s="444"/>
      <c r="AS59" s="444"/>
      <c r="AT59" s="444"/>
      <c r="AU59" s="444"/>
      <c r="AV59" s="444"/>
      <c r="AW59" s="444"/>
      <c r="AX59" s="444"/>
    </row>
    <row r="60" spans="2:50" x14ac:dyDescent="0.25">
      <c r="B60" s="9"/>
      <c r="C60" s="10"/>
      <c r="D60" s="10"/>
      <c r="E60" s="10"/>
      <c r="F60" s="10"/>
      <c r="G60" s="10"/>
      <c r="H60" s="10"/>
      <c r="I60" s="10"/>
      <c r="J60" s="53"/>
      <c r="K60" s="416" t="s">
        <v>282</v>
      </c>
      <c r="L60" s="416"/>
      <c r="M60" s="39"/>
      <c r="N60" s="6"/>
      <c r="O60" s="57" t="e">
        <f>X27/1000</f>
        <v>#DIV/0!</v>
      </c>
      <c r="P60" s="10" t="s">
        <v>77</v>
      </c>
      <c r="Q60" s="57">
        <f>Y27/1000</f>
        <v>0</v>
      </c>
      <c r="R60" s="409" t="s">
        <v>77</v>
      </c>
      <c r="S60" s="15"/>
      <c r="T60" s="444"/>
      <c r="U60" s="444"/>
      <c r="V60" s="444"/>
      <c r="W60" s="444"/>
      <c r="X60" s="444"/>
      <c r="Y60" s="444"/>
      <c r="Z60" s="444"/>
      <c r="AA60" s="444"/>
      <c r="AB60" s="444"/>
      <c r="AC60" s="444"/>
      <c r="AD60" s="444"/>
      <c r="AE60" s="444"/>
      <c r="AF60" s="444"/>
      <c r="AG60" s="444"/>
      <c r="AH60" s="444"/>
      <c r="AI60" s="444"/>
      <c r="AJ60" s="444"/>
      <c r="AK60" s="444"/>
      <c r="AL60" s="444"/>
      <c r="AM60" s="444"/>
      <c r="AN60" s="444"/>
      <c r="AO60" s="444"/>
      <c r="AP60" s="444"/>
      <c r="AQ60" s="444"/>
      <c r="AR60" s="444"/>
      <c r="AS60" s="444"/>
      <c r="AT60" s="444"/>
      <c r="AU60" s="444"/>
      <c r="AV60" s="444"/>
      <c r="AW60" s="444"/>
      <c r="AX60" s="444"/>
    </row>
    <row r="61" spans="2:50" x14ac:dyDescent="0.25">
      <c r="B61" s="9"/>
      <c r="C61" s="410"/>
      <c r="D61" s="410"/>
      <c r="E61" s="410"/>
      <c r="F61" s="410"/>
      <c r="G61" s="10"/>
      <c r="H61" s="10"/>
      <c r="I61" s="10"/>
      <c r="J61" s="53"/>
      <c r="K61" s="53"/>
      <c r="L61" s="53"/>
      <c r="M61" s="53"/>
      <c r="O61" s="53"/>
      <c r="P61" s="53"/>
      <c r="Q61" s="53"/>
      <c r="R61" s="53"/>
      <c r="S61" s="15"/>
      <c r="T61" s="444"/>
      <c r="U61" s="444"/>
      <c r="V61" s="444"/>
      <c r="W61" s="444"/>
      <c r="X61" s="444"/>
      <c r="Y61" s="444"/>
      <c r="Z61" s="444"/>
      <c r="AA61" s="444"/>
      <c r="AB61" s="444"/>
      <c r="AC61" s="444"/>
      <c r="AD61" s="444"/>
      <c r="AE61" s="444"/>
      <c r="AF61" s="444"/>
      <c r="AG61" s="444"/>
      <c r="AH61" s="444"/>
      <c r="AI61" s="444"/>
      <c r="AJ61" s="444"/>
      <c r="AK61" s="444"/>
      <c r="AL61" s="444"/>
      <c r="AM61" s="444"/>
      <c r="AN61" s="444"/>
      <c r="AO61" s="444"/>
      <c r="AP61" s="444"/>
      <c r="AQ61" s="444"/>
      <c r="AR61" s="444"/>
      <c r="AS61" s="444"/>
      <c r="AT61" s="444"/>
      <c r="AU61" s="444"/>
      <c r="AV61" s="444"/>
      <c r="AW61" s="444"/>
      <c r="AX61" s="444"/>
    </row>
    <row r="62" spans="2:50" x14ac:dyDescent="0.25">
      <c r="B62" s="9"/>
      <c r="C62" s="591" t="s">
        <v>233</v>
      </c>
      <c r="D62" s="592"/>
      <c r="E62" s="592"/>
      <c r="F62" s="592"/>
      <c r="G62" s="592"/>
      <c r="H62" s="592"/>
      <c r="I62" s="592"/>
      <c r="J62" s="592"/>
      <c r="K62" s="592"/>
      <c r="L62" s="592"/>
      <c r="M62" s="592"/>
      <c r="N62" s="592"/>
      <c r="O62" s="592"/>
      <c r="P62" s="592"/>
      <c r="Q62" s="592"/>
      <c r="R62" s="593"/>
      <c r="S62" s="15"/>
      <c r="T62" s="444"/>
      <c r="U62" s="444"/>
      <c r="V62" s="444"/>
      <c r="W62" s="444"/>
      <c r="X62" s="444"/>
      <c r="Y62" s="444"/>
      <c r="Z62" s="444"/>
      <c r="AA62" s="444"/>
      <c r="AB62" s="444"/>
      <c r="AC62" s="444"/>
      <c r="AD62" s="444"/>
      <c r="AE62" s="444"/>
      <c r="AF62" s="444"/>
      <c r="AG62" s="444"/>
      <c r="AH62" s="444"/>
      <c r="AI62" s="444"/>
      <c r="AJ62" s="444"/>
      <c r="AK62" s="444"/>
      <c r="AL62" s="444"/>
      <c r="AM62" s="444"/>
      <c r="AN62" s="444"/>
      <c r="AO62" s="444"/>
      <c r="AP62" s="444"/>
      <c r="AQ62" s="444"/>
      <c r="AR62" s="444"/>
      <c r="AS62" s="444"/>
      <c r="AT62" s="444"/>
      <c r="AU62" s="444"/>
      <c r="AV62" s="444"/>
      <c r="AW62" s="444"/>
      <c r="AX62" s="444"/>
    </row>
    <row r="63" spans="2:50" x14ac:dyDescent="0.25">
      <c r="B63" s="9"/>
      <c r="C63" s="349"/>
      <c r="D63" s="291"/>
      <c r="E63" s="291"/>
      <c r="F63" s="291"/>
      <c r="G63" s="291"/>
      <c r="H63" s="292"/>
      <c r="I63" s="292"/>
      <c r="J63" s="292"/>
      <c r="K63" s="293"/>
      <c r="L63" s="294"/>
      <c r="M63" s="293"/>
      <c r="N63" s="293"/>
      <c r="O63" s="293"/>
      <c r="P63" s="349"/>
      <c r="Q63" s="350"/>
      <c r="S63" s="15"/>
      <c r="T63" s="444"/>
      <c r="U63" s="444"/>
      <c r="V63" s="444" t="s">
        <v>265</v>
      </c>
      <c r="W63" s="444"/>
      <c r="X63" s="444"/>
      <c r="Y63" s="444"/>
      <c r="Z63" s="444"/>
      <c r="AA63" s="444"/>
      <c r="AB63" s="444"/>
      <c r="AC63" s="444"/>
      <c r="AD63" s="444"/>
      <c r="AE63" s="444"/>
      <c r="AF63" s="444"/>
      <c r="AG63" s="444"/>
      <c r="AH63" s="444"/>
      <c r="AI63" s="444"/>
      <c r="AJ63" s="444"/>
      <c r="AK63" s="444"/>
      <c r="AL63" s="444"/>
      <c r="AM63" s="444"/>
      <c r="AN63" s="444"/>
      <c r="AO63" s="444"/>
      <c r="AP63" s="444"/>
      <c r="AQ63" s="444"/>
      <c r="AR63" s="444"/>
      <c r="AS63" s="444"/>
      <c r="AT63" s="444"/>
      <c r="AU63" s="444"/>
      <c r="AV63" s="444"/>
      <c r="AW63" s="444"/>
      <c r="AX63" s="444"/>
    </row>
    <row r="64" spans="2:50" x14ac:dyDescent="0.25">
      <c r="B64" s="9"/>
      <c r="C64" s="351"/>
      <c r="D64" s="299" t="s">
        <v>234</v>
      </c>
      <c r="E64" s="300"/>
      <c r="F64" s="300"/>
      <c r="G64" s="352"/>
      <c r="H64" s="302" t="s">
        <v>65</v>
      </c>
      <c r="I64" s="322"/>
      <c r="J64" s="353" t="s">
        <v>283</v>
      </c>
      <c r="K64" s="354"/>
      <c r="L64" s="354"/>
      <c r="M64" s="352" t="s">
        <v>289</v>
      </c>
      <c r="N64" s="300"/>
      <c r="O64" s="322"/>
      <c r="P64" s="355"/>
      <c r="Q64" s="322"/>
      <c r="S64" s="15"/>
      <c r="T64" s="444"/>
      <c r="U64" s="444"/>
      <c r="V64" s="444"/>
      <c r="W64" s="444"/>
      <c r="X64" s="444"/>
      <c r="Y64" s="444"/>
      <c r="Z64" s="444"/>
      <c r="AA64" s="444"/>
      <c r="AB64" s="444"/>
      <c r="AC64" s="444"/>
      <c r="AD64" s="444"/>
      <c r="AE64" s="444"/>
      <c r="AF64" s="444"/>
      <c r="AG64" s="444"/>
      <c r="AH64" s="444"/>
      <c r="AI64" s="444"/>
      <c r="AJ64" s="444"/>
      <c r="AK64" s="444"/>
      <c r="AL64" s="444"/>
      <c r="AM64" s="444"/>
      <c r="AN64" s="444"/>
      <c r="AO64" s="444"/>
      <c r="AP64" s="444"/>
      <c r="AQ64" s="444"/>
      <c r="AR64" s="444"/>
      <c r="AS64" s="444"/>
      <c r="AT64" s="444"/>
      <c r="AU64" s="444"/>
      <c r="AV64" s="444"/>
      <c r="AW64" s="444"/>
      <c r="AX64" s="444"/>
    </row>
    <row r="65" spans="2:50" x14ac:dyDescent="0.25">
      <c r="B65" s="9"/>
      <c r="C65" s="351"/>
      <c r="D65" s="307"/>
      <c r="E65" s="322"/>
      <c r="F65" s="300"/>
      <c r="G65" s="302"/>
      <c r="H65" s="302"/>
      <c r="I65" s="300"/>
      <c r="J65" s="300"/>
      <c r="K65" s="300"/>
      <c r="L65" s="302"/>
      <c r="M65" s="302"/>
      <c r="N65" s="302"/>
      <c r="O65" s="322"/>
      <c r="P65" s="355"/>
      <c r="Q65" s="322"/>
      <c r="S65" s="15"/>
      <c r="T65" s="444"/>
      <c r="U65" s="444"/>
      <c r="V65" s="444"/>
      <c r="W65" s="444"/>
      <c r="X65" s="444"/>
      <c r="Y65" s="444"/>
      <c r="Z65" s="444"/>
      <c r="AA65" s="444"/>
      <c r="AB65" s="444"/>
      <c r="AC65" s="444"/>
      <c r="AD65" s="444"/>
      <c r="AE65" s="444"/>
      <c r="AF65" s="444"/>
      <c r="AG65" s="444"/>
      <c r="AH65" s="444"/>
      <c r="AI65" s="444"/>
      <c r="AJ65" s="444"/>
      <c r="AK65" s="444"/>
      <c r="AL65" s="444"/>
      <c r="AM65" s="444"/>
      <c r="AN65" s="444"/>
      <c r="AO65" s="444"/>
      <c r="AP65" s="444"/>
      <c r="AQ65" s="444"/>
      <c r="AR65" s="444"/>
      <c r="AS65" s="444"/>
      <c r="AT65" s="444"/>
      <c r="AU65" s="444"/>
      <c r="AV65" s="444"/>
      <c r="AW65" s="444"/>
      <c r="AX65" s="444"/>
    </row>
    <row r="66" spans="2:50" x14ac:dyDescent="0.25">
      <c r="B66" s="9"/>
      <c r="C66" s="351"/>
      <c r="D66" s="307" t="s">
        <v>285</v>
      </c>
      <c r="E66" s="322"/>
      <c r="F66" s="300"/>
      <c r="G66" s="313">
        <v>150</v>
      </c>
      <c r="H66" s="314" t="s">
        <v>65</v>
      </c>
      <c r="I66" s="300"/>
      <c r="J66" s="299" t="s">
        <v>235</v>
      </c>
      <c r="K66" s="322"/>
      <c r="L66" s="356"/>
      <c r="M66" s="352"/>
      <c r="N66" s="302" t="s">
        <v>65</v>
      </c>
      <c r="O66" s="322"/>
      <c r="P66" s="355"/>
      <c r="Q66" s="322"/>
      <c r="S66" s="15"/>
      <c r="T66" s="444"/>
      <c r="U66" s="444"/>
      <c r="V66" s="444"/>
      <c r="W66" s="444"/>
      <c r="X66" s="444"/>
      <c r="Y66" s="444"/>
      <c r="Z66" s="444"/>
      <c r="AA66" s="444"/>
      <c r="AB66" s="444"/>
      <c r="AC66" s="444"/>
      <c r="AD66" s="444"/>
      <c r="AE66" s="444"/>
      <c r="AF66" s="444"/>
      <c r="AG66" s="444"/>
      <c r="AH66" s="444"/>
      <c r="AI66" s="444"/>
      <c r="AJ66" s="444"/>
      <c r="AK66" s="444"/>
      <c r="AL66" s="444"/>
      <c r="AM66" s="444"/>
      <c r="AN66" s="444"/>
      <c r="AO66" s="444"/>
      <c r="AP66" s="444"/>
      <c r="AQ66" s="444"/>
      <c r="AR66" s="444"/>
      <c r="AS66" s="444"/>
      <c r="AT66" s="444"/>
      <c r="AU66" s="444"/>
      <c r="AV66" s="444"/>
      <c r="AW66" s="444"/>
      <c r="AX66" s="444"/>
    </row>
    <row r="67" spans="2:50" x14ac:dyDescent="0.25">
      <c r="B67" s="9"/>
      <c r="C67" s="351"/>
      <c r="D67" s="307"/>
      <c r="E67" s="322"/>
      <c r="F67" s="300"/>
      <c r="G67" s="314"/>
      <c r="H67" s="314"/>
      <c r="I67" s="300"/>
      <c r="J67" s="314"/>
      <c r="K67" s="314"/>
      <c r="L67" s="314"/>
      <c r="M67" s="314"/>
      <c r="N67" s="314"/>
      <c r="O67" s="322"/>
      <c r="P67" s="355"/>
      <c r="Q67" s="322"/>
      <c r="S67" s="15"/>
      <c r="T67" s="444"/>
      <c r="U67" s="444"/>
      <c r="V67" s="444"/>
      <c r="W67" s="444"/>
      <c r="X67" s="444"/>
      <c r="Y67" s="444"/>
      <c r="Z67" s="444"/>
      <c r="AA67" s="444"/>
      <c r="AB67" s="444"/>
      <c r="AC67" s="444"/>
      <c r="AD67" s="444"/>
      <c r="AE67" s="444"/>
      <c r="AF67" s="444"/>
      <c r="AG67" s="444"/>
      <c r="AH67" s="444"/>
      <c r="AI67" s="444"/>
      <c r="AJ67" s="444"/>
      <c r="AK67" s="444"/>
      <c r="AL67" s="444"/>
      <c r="AM67" s="444"/>
      <c r="AN67" s="444"/>
      <c r="AO67" s="444"/>
      <c r="AP67" s="444"/>
      <c r="AQ67" s="444"/>
      <c r="AR67" s="444"/>
      <c r="AS67" s="444"/>
      <c r="AT67" s="444"/>
      <c r="AU67" s="444"/>
      <c r="AV67" s="444"/>
      <c r="AW67" s="444"/>
      <c r="AX67" s="444"/>
    </row>
    <row r="68" spans="2:50" x14ac:dyDescent="0.25">
      <c r="B68" s="9"/>
      <c r="C68" s="351"/>
      <c r="D68" s="307" t="s">
        <v>237</v>
      </c>
      <c r="E68" s="322"/>
      <c r="F68" s="300"/>
      <c r="G68" s="313">
        <v>1</v>
      </c>
      <c r="H68" s="314"/>
      <c r="I68" s="300"/>
      <c r="J68" s="357" t="s">
        <v>286</v>
      </c>
      <c r="K68" s="322"/>
      <c r="L68" s="358"/>
      <c r="M68" s="352"/>
      <c r="N68" s="302" t="s">
        <v>65</v>
      </c>
      <c r="O68" s="322"/>
      <c r="P68" s="355"/>
      <c r="Q68" s="322"/>
      <c r="S68" s="15"/>
      <c r="T68" s="444"/>
      <c r="U68" s="444"/>
      <c r="V68" s="444"/>
      <c r="W68" s="444"/>
      <c r="X68" s="444"/>
      <c r="Y68" s="444"/>
      <c r="Z68" s="444"/>
      <c r="AA68" s="444"/>
      <c r="AB68" s="444"/>
      <c r="AC68" s="444"/>
      <c r="AD68" s="444"/>
      <c r="AE68" s="444"/>
      <c r="AF68" s="444"/>
      <c r="AG68" s="444"/>
      <c r="AH68" s="444"/>
      <c r="AI68" s="444"/>
      <c r="AJ68" s="444"/>
      <c r="AK68" s="444"/>
      <c r="AL68" s="444"/>
      <c r="AM68" s="444"/>
      <c r="AN68" s="444"/>
      <c r="AO68" s="444"/>
      <c r="AP68" s="444"/>
      <c r="AQ68" s="444"/>
      <c r="AR68" s="444"/>
      <c r="AS68" s="444"/>
      <c r="AT68" s="444"/>
      <c r="AU68" s="444"/>
      <c r="AV68" s="444"/>
      <c r="AW68" s="444"/>
      <c r="AX68" s="444"/>
    </row>
    <row r="69" spans="2:50" x14ac:dyDescent="0.25">
      <c r="B69" s="9"/>
      <c r="C69" s="351"/>
      <c r="D69" s="307"/>
      <c r="E69" s="322"/>
      <c r="F69" s="300"/>
      <c r="G69" s="314"/>
      <c r="H69" s="314"/>
      <c r="I69" s="300"/>
      <c r="J69" s="322"/>
      <c r="K69" s="302"/>
      <c r="L69" s="308"/>
      <c r="M69" s="322"/>
      <c r="N69" s="322"/>
      <c r="O69" s="302"/>
      <c r="P69" s="351"/>
      <c r="Q69" s="308"/>
      <c r="R69" s="315"/>
      <c r="S69" s="15"/>
      <c r="T69" s="444"/>
      <c r="U69" s="444"/>
      <c r="V69" s="444"/>
      <c r="W69" s="444"/>
      <c r="X69" s="444"/>
      <c r="Y69" s="444"/>
      <c r="Z69" s="444"/>
      <c r="AA69" s="444"/>
      <c r="AB69" s="444"/>
      <c r="AC69" s="444"/>
      <c r="AD69" s="444"/>
      <c r="AE69" s="444"/>
      <c r="AF69" s="444"/>
      <c r="AG69" s="444"/>
      <c r="AH69" s="444"/>
      <c r="AI69" s="444"/>
      <c r="AJ69" s="444"/>
      <c r="AK69" s="444"/>
      <c r="AL69" s="444"/>
      <c r="AM69" s="444"/>
      <c r="AN69" s="444"/>
      <c r="AO69" s="444"/>
      <c r="AP69" s="444"/>
      <c r="AQ69" s="444"/>
      <c r="AR69" s="444"/>
      <c r="AS69" s="444"/>
      <c r="AT69" s="444"/>
      <c r="AU69" s="444"/>
      <c r="AV69" s="444"/>
      <c r="AW69" s="444"/>
      <c r="AX69" s="444"/>
    </row>
    <row r="70" spans="2:50" x14ac:dyDescent="0.25">
      <c r="B70" s="9"/>
      <c r="C70" s="351"/>
      <c r="D70" s="307" t="s">
        <v>287</v>
      </c>
      <c r="E70" s="322"/>
      <c r="F70" s="322"/>
      <c r="G70" s="359">
        <f>B95</f>
        <v>336</v>
      </c>
      <c r="H70" s="374" t="s">
        <v>65</v>
      </c>
      <c r="I70" s="360"/>
      <c r="J70" s="307" t="s">
        <v>227</v>
      </c>
      <c r="K70" s="322"/>
      <c r="L70" s="322"/>
      <c r="M70" s="594" t="s">
        <v>264</v>
      </c>
      <c r="N70" s="595"/>
      <c r="O70" s="302"/>
      <c r="P70" s="351"/>
      <c r="Q70" s="308"/>
      <c r="R70" s="315"/>
      <c r="S70" s="15"/>
      <c r="T70" s="444"/>
      <c r="U70" s="444"/>
      <c r="V70" s="444"/>
      <c r="W70" s="444"/>
      <c r="X70" s="444"/>
      <c r="Y70" s="444"/>
      <c r="Z70" s="444"/>
      <c r="AA70" s="444"/>
      <c r="AB70" s="444"/>
      <c r="AC70" s="444"/>
      <c r="AD70" s="444"/>
      <c r="AE70" s="444"/>
      <c r="AF70" s="444"/>
      <c r="AG70" s="444"/>
      <c r="AH70" s="444"/>
      <c r="AI70" s="444"/>
      <c r="AJ70" s="444"/>
      <c r="AK70" s="444"/>
      <c r="AL70" s="444"/>
      <c r="AM70" s="444"/>
      <c r="AN70" s="444"/>
      <c r="AO70" s="444"/>
      <c r="AP70" s="444"/>
      <c r="AQ70" s="444"/>
      <c r="AR70" s="444"/>
      <c r="AS70" s="444"/>
      <c r="AT70" s="444"/>
      <c r="AU70" s="444"/>
      <c r="AV70" s="444"/>
      <c r="AW70" s="444"/>
      <c r="AX70" s="444"/>
    </row>
    <row r="71" spans="2:50" x14ac:dyDescent="0.25">
      <c r="B71" s="9"/>
      <c r="C71" s="351"/>
      <c r="D71" s="314"/>
      <c r="E71" s="314"/>
      <c r="F71" s="314"/>
      <c r="G71" s="314"/>
      <c r="H71" s="302"/>
      <c r="I71" s="302"/>
      <c r="J71" s="302"/>
      <c r="K71" s="308"/>
      <c r="L71" s="308"/>
      <c r="M71" s="308"/>
      <c r="N71" s="308"/>
      <c r="O71" s="308"/>
      <c r="P71" s="351"/>
      <c r="Q71" s="308"/>
      <c r="R71" s="315"/>
      <c r="S71" s="15"/>
      <c r="T71" s="444"/>
      <c r="U71" s="444"/>
      <c r="V71" s="444"/>
      <c r="W71" s="444"/>
      <c r="X71" s="444"/>
      <c r="Y71" s="444"/>
      <c r="Z71" s="444"/>
      <c r="AA71" s="444"/>
      <c r="AB71" s="444"/>
      <c r="AC71" s="444"/>
      <c r="AD71" s="444"/>
      <c r="AE71" s="444"/>
      <c r="AF71" s="444"/>
      <c r="AG71" s="444"/>
      <c r="AH71" s="444"/>
      <c r="AI71" s="444"/>
      <c r="AJ71" s="444"/>
      <c r="AK71" s="444"/>
      <c r="AL71" s="444"/>
      <c r="AM71" s="444"/>
      <c r="AN71" s="444"/>
      <c r="AO71" s="444"/>
      <c r="AP71" s="444"/>
      <c r="AQ71" s="444"/>
      <c r="AR71" s="444"/>
      <c r="AS71" s="444"/>
      <c r="AT71" s="444"/>
      <c r="AU71" s="444"/>
      <c r="AV71" s="444"/>
      <c r="AW71" s="444"/>
      <c r="AX71" s="444"/>
    </row>
    <row r="72" spans="2:50" ht="18.75" x14ac:dyDescent="0.3">
      <c r="B72" s="9"/>
      <c r="C72" s="351"/>
      <c r="D72" s="426" t="s">
        <v>239</v>
      </c>
      <c r="E72" s="426"/>
      <c r="F72" s="426"/>
      <c r="G72" s="330"/>
      <c r="H72" s="449" t="e">
        <f>AH26</f>
        <v>#DIV/0!</v>
      </c>
      <c r="I72" s="308"/>
      <c r="J72" s="361"/>
      <c r="K72" s="330"/>
      <c r="L72" s="330"/>
      <c r="M72" s="322"/>
      <c r="N72" s="362"/>
      <c r="O72" s="308"/>
      <c r="P72" s="351"/>
      <c r="Q72" s="308"/>
      <c r="R72" s="315"/>
      <c r="S72" s="15"/>
      <c r="T72" s="444"/>
      <c r="U72" s="444"/>
      <c r="V72" s="444"/>
      <c r="W72" s="444"/>
      <c r="X72" s="444"/>
      <c r="Y72" s="444"/>
      <c r="Z72" s="444"/>
      <c r="AA72" s="444"/>
      <c r="AB72" s="444"/>
      <c r="AC72" s="444"/>
      <c r="AD72" s="444"/>
      <c r="AE72" s="444"/>
      <c r="AF72" s="444"/>
      <c r="AG72" s="444"/>
      <c r="AH72" s="444"/>
      <c r="AI72" s="444"/>
      <c r="AJ72" s="444"/>
      <c r="AK72" s="444"/>
      <c r="AL72" s="444"/>
      <c r="AM72" s="444"/>
      <c r="AN72" s="444"/>
      <c r="AO72" s="444"/>
      <c r="AP72" s="444"/>
      <c r="AQ72" s="444"/>
      <c r="AR72" s="444"/>
      <c r="AS72" s="444"/>
      <c r="AT72" s="444"/>
      <c r="AU72" s="444"/>
      <c r="AV72" s="444"/>
      <c r="AW72" s="444"/>
      <c r="AX72" s="444"/>
    </row>
    <row r="73" spans="2:50" ht="18.75" x14ac:dyDescent="0.3">
      <c r="B73" s="9"/>
      <c r="C73" s="351"/>
      <c r="D73" s="426" t="s">
        <v>240</v>
      </c>
      <c r="E73" s="314"/>
      <c r="F73" s="314"/>
      <c r="G73" s="330"/>
      <c r="H73" s="330"/>
      <c r="I73" s="308"/>
      <c r="J73" s="361"/>
      <c r="K73" s="300"/>
      <c r="L73" s="300"/>
      <c r="M73" s="322"/>
      <c r="N73" s="362"/>
      <c r="O73" s="308"/>
      <c r="P73" s="351"/>
      <c r="Q73" s="308"/>
      <c r="R73" s="315"/>
      <c r="S73" s="15"/>
      <c r="T73" s="444"/>
      <c r="U73" s="444"/>
      <c r="V73" s="444"/>
      <c r="W73" s="444"/>
      <c r="X73" s="444"/>
      <c r="Y73" s="444"/>
      <c r="Z73" s="444"/>
      <c r="AA73" s="444"/>
      <c r="AB73" s="444"/>
      <c r="AC73" s="444"/>
      <c r="AD73" s="444"/>
      <c r="AE73" s="444"/>
      <c r="AF73" s="444"/>
      <c r="AG73" s="444"/>
      <c r="AH73" s="444"/>
      <c r="AI73" s="444"/>
      <c r="AJ73" s="444"/>
      <c r="AK73" s="444"/>
      <c r="AL73" s="444"/>
      <c r="AM73" s="444"/>
      <c r="AN73" s="444"/>
      <c r="AO73" s="444"/>
      <c r="AP73" s="444"/>
      <c r="AQ73" s="444"/>
      <c r="AR73" s="444"/>
      <c r="AS73" s="444"/>
      <c r="AT73" s="444"/>
      <c r="AU73" s="444"/>
      <c r="AV73" s="444"/>
      <c r="AW73" s="444"/>
      <c r="AX73" s="444"/>
    </row>
    <row r="74" spans="2:50" x14ac:dyDescent="0.25">
      <c r="B74" s="9"/>
      <c r="C74" s="351"/>
      <c r="D74" s="322"/>
      <c r="E74" s="363"/>
      <c r="F74" s="363"/>
      <c r="G74" s="363"/>
      <c r="H74" s="363"/>
      <c r="I74" s="363"/>
      <c r="J74" s="363"/>
      <c r="K74" s="363"/>
      <c r="L74" s="363"/>
      <c r="M74" s="363"/>
      <c r="N74" s="363"/>
      <c r="O74" s="308"/>
      <c r="P74" s="351"/>
      <c r="Q74" s="308"/>
      <c r="R74" s="315"/>
      <c r="S74" s="15"/>
      <c r="T74" s="444"/>
      <c r="U74" s="444"/>
      <c r="V74" s="444"/>
      <c r="W74" s="444"/>
      <c r="X74" s="444"/>
      <c r="Y74" s="444"/>
      <c r="Z74" s="444"/>
      <c r="AA74" s="444"/>
      <c r="AB74" s="444"/>
      <c r="AC74" s="444"/>
      <c r="AD74" s="444"/>
      <c r="AE74" s="444"/>
      <c r="AF74" s="444"/>
      <c r="AG74" s="444"/>
      <c r="AH74" s="444"/>
      <c r="AI74" s="444"/>
      <c r="AJ74" s="444"/>
      <c r="AK74" s="444"/>
      <c r="AL74" s="444"/>
      <c r="AM74" s="444"/>
      <c r="AN74" s="444"/>
      <c r="AO74" s="444"/>
      <c r="AP74" s="444"/>
      <c r="AQ74" s="444"/>
      <c r="AR74" s="444"/>
      <c r="AS74" s="444"/>
      <c r="AT74" s="444"/>
      <c r="AU74" s="444"/>
      <c r="AV74" s="444"/>
      <c r="AW74" s="444"/>
      <c r="AX74" s="444"/>
    </row>
    <row r="75" spans="2:50" ht="15" customHeight="1" x14ac:dyDescent="0.25">
      <c r="B75" s="9"/>
      <c r="C75" s="349"/>
      <c r="D75" s="364" t="s">
        <v>241</v>
      </c>
      <c r="E75" s="596" t="s">
        <v>288</v>
      </c>
      <c r="F75" s="596"/>
      <c r="G75" s="596"/>
      <c r="H75" s="596"/>
      <c r="I75" s="596"/>
      <c r="J75" s="596"/>
      <c r="K75" s="596"/>
      <c r="L75" s="596"/>
      <c r="M75" s="596"/>
      <c r="N75" s="596"/>
      <c r="O75" s="597"/>
      <c r="P75" s="351"/>
      <c r="Q75" s="308"/>
      <c r="R75" s="315"/>
      <c r="S75" s="15"/>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row>
    <row r="76" spans="2:50" x14ac:dyDescent="0.25">
      <c r="B76" s="9"/>
      <c r="C76" s="365"/>
      <c r="D76" s="366"/>
      <c r="E76" s="598"/>
      <c r="F76" s="598"/>
      <c r="G76" s="598"/>
      <c r="H76" s="598"/>
      <c r="I76" s="598"/>
      <c r="J76" s="598"/>
      <c r="K76" s="598"/>
      <c r="L76" s="598"/>
      <c r="M76" s="598"/>
      <c r="N76" s="598"/>
      <c r="O76" s="599"/>
      <c r="P76" s="365"/>
      <c r="Q76" s="367"/>
      <c r="R76" s="368"/>
      <c r="S76" s="15"/>
      <c r="T76" s="444"/>
      <c r="U76" s="444"/>
      <c r="V76" s="444"/>
      <c r="W76" s="444"/>
      <c r="X76" s="444"/>
      <c r="Y76" s="444"/>
      <c r="Z76" s="444"/>
      <c r="AA76" s="444"/>
      <c r="AB76" s="444"/>
      <c r="AC76" s="444"/>
      <c r="AD76" s="444"/>
      <c r="AE76" s="444"/>
      <c r="AF76" s="444"/>
      <c r="AG76" s="444"/>
      <c r="AH76" s="444"/>
      <c r="AI76" s="444"/>
      <c r="AJ76" s="444"/>
      <c r="AK76" s="444"/>
      <c r="AL76" s="444"/>
      <c r="AM76" s="444"/>
      <c r="AN76" s="444"/>
      <c r="AO76" s="444"/>
      <c r="AP76" s="444"/>
      <c r="AQ76" s="444"/>
      <c r="AR76" s="444"/>
      <c r="AS76" s="444"/>
      <c r="AT76" s="444"/>
      <c r="AU76" s="444"/>
      <c r="AV76" s="444"/>
      <c r="AW76" s="444"/>
      <c r="AX76" s="444"/>
    </row>
    <row r="77" spans="2:50" x14ac:dyDescent="0.25">
      <c r="B77" s="9"/>
      <c r="C77" s="10"/>
      <c r="D77" s="10"/>
      <c r="E77" s="413"/>
      <c r="F77" s="413"/>
      <c r="G77" s="413"/>
      <c r="H77" s="413"/>
      <c r="I77" s="411"/>
      <c r="J77" s="411"/>
      <c r="K77" s="411"/>
      <c r="L77" s="10"/>
      <c r="M77" s="10"/>
      <c r="N77" s="10"/>
      <c r="O77" s="10"/>
      <c r="P77" s="10"/>
      <c r="Q77" s="10"/>
      <c r="R77" s="10"/>
      <c r="S77" s="15"/>
      <c r="T77" s="444"/>
      <c r="U77" s="444"/>
      <c r="V77" s="444"/>
      <c r="W77" s="444"/>
      <c r="X77" s="444"/>
      <c r="Y77" s="444"/>
      <c r="Z77" s="444"/>
      <c r="AA77" s="444"/>
      <c r="AB77" s="444"/>
      <c r="AC77" s="444"/>
      <c r="AD77" s="444"/>
      <c r="AE77" s="444"/>
      <c r="AF77" s="444"/>
      <c r="AG77" s="444"/>
      <c r="AH77" s="444"/>
      <c r="AI77" s="444"/>
      <c r="AJ77" s="444"/>
      <c r="AK77" s="444"/>
      <c r="AL77" s="444"/>
      <c r="AM77" s="444"/>
      <c r="AN77" s="444"/>
      <c r="AO77" s="444"/>
      <c r="AP77" s="444"/>
      <c r="AQ77" s="444"/>
      <c r="AR77" s="444"/>
      <c r="AS77" s="444"/>
      <c r="AT77" s="444"/>
      <c r="AU77" s="444"/>
      <c r="AV77" s="444"/>
      <c r="AW77" s="444"/>
      <c r="AX77" s="444"/>
    </row>
    <row r="78" spans="2:50" x14ac:dyDescent="0.25">
      <c r="B78" s="9"/>
      <c r="C78" s="10"/>
      <c r="D78" s="10"/>
      <c r="E78" s="10"/>
      <c r="F78" s="10"/>
      <c r="G78" s="10"/>
      <c r="H78" s="10"/>
      <c r="I78" s="10"/>
      <c r="J78" s="10"/>
      <c r="K78" s="10"/>
      <c r="L78" s="10"/>
      <c r="M78" s="10"/>
      <c r="N78" s="10"/>
      <c r="O78" s="10"/>
      <c r="P78" s="10"/>
      <c r="Q78" s="10"/>
      <c r="R78" s="10"/>
      <c r="S78" s="15"/>
      <c r="T78" s="444"/>
      <c r="U78" s="444"/>
      <c r="V78" s="444"/>
      <c r="W78" s="444"/>
      <c r="X78" s="444"/>
      <c r="Y78" s="444"/>
      <c r="Z78" s="444"/>
      <c r="AA78" s="444"/>
      <c r="AB78" s="444"/>
      <c r="AC78" s="444"/>
      <c r="AD78" s="444"/>
      <c r="AE78" s="444"/>
      <c r="AF78" s="444"/>
      <c r="AG78" s="444"/>
      <c r="AH78" s="444"/>
      <c r="AI78" s="444"/>
      <c r="AJ78" s="444"/>
      <c r="AK78" s="444"/>
      <c r="AL78" s="444"/>
      <c r="AM78" s="444"/>
      <c r="AN78" s="444"/>
      <c r="AO78" s="444"/>
      <c r="AP78" s="444"/>
      <c r="AQ78" s="444"/>
      <c r="AR78" s="444"/>
      <c r="AS78" s="444"/>
      <c r="AT78" s="444"/>
      <c r="AU78" s="444"/>
      <c r="AV78" s="444"/>
      <c r="AW78" s="444"/>
      <c r="AX78" s="444"/>
    </row>
    <row r="79" spans="2:50" x14ac:dyDescent="0.25">
      <c r="B79" s="9"/>
      <c r="C79" s="10"/>
      <c r="D79" s="10"/>
      <c r="E79" s="10"/>
      <c r="F79" s="10"/>
      <c r="G79" s="10"/>
      <c r="H79" s="10"/>
      <c r="I79" s="10"/>
      <c r="J79" s="10"/>
      <c r="K79" s="10"/>
      <c r="L79" s="10"/>
      <c r="M79" s="10"/>
      <c r="N79" s="10"/>
      <c r="O79" s="10"/>
      <c r="P79" s="10"/>
      <c r="Q79" s="10"/>
      <c r="R79" s="10"/>
      <c r="S79" s="15"/>
      <c r="T79" s="444"/>
      <c r="U79" s="444"/>
      <c r="V79" s="444"/>
      <c r="W79" s="444"/>
      <c r="X79" s="444"/>
      <c r="Y79" s="444"/>
      <c r="Z79" s="444"/>
      <c r="AA79" s="444"/>
      <c r="AB79" s="444"/>
      <c r="AC79" s="444"/>
      <c r="AD79" s="444"/>
      <c r="AE79" s="444"/>
      <c r="AF79" s="444"/>
      <c r="AG79" s="444"/>
      <c r="AH79" s="444"/>
      <c r="AI79" s="444"/>
      <c r="AJ79" s="444"/>
      <c r="AK79" s="444"/>
      <c r="AL79" s="444"/>
      <c r="AM79" s="444"/>
      <c r="AN79" s="444"/>
      <c r="AO79" s="444"/>
      <c r="AP79" s="444"/>
      <c r="AQ79" s="444"/>
      <c r="AR79" s="444"/>
      <c r="AS79" s="444"/>
      <c r="AT79" s="444"/>
      <c r="AU79" s="444"/>
      <c r="AV79" s="444"/>
      <c r="AW79" s="444"/>
      <c r="AX79" s="444"/>
    </row>
    <row r="80" spans="2:50" x14ac:dyDescent="0.25">
      <c r="B80" s="369"/>
      <c r="C80" s="74"/>
      <c r="D80" s="74"/>
      <c r="E80" s="74"/>
      <c r="F80" s="74"/>
      <c r="G80" s="74"/>
      <c r="H80" s="74"/>
      <c r="I80" s="74"/>
      <c r="J80" s="74"/>
      <c r="K80" s="74"/>
      <c r="L80" s="74"/>
      <c r="M80" s="74"/>
      <c r="N80" s="74"/>
      <c r="O80" s="74"/>
      <c r="P80" s="74"/>
      <c r="Q80" s="74"/>
      <c r="R80" s="74"/>
      <c r="S80" s="75"/>
      <c r="T80" s="444"/>
      <c r="U80" s="444"/>
      <c r="V80" s="444"/>
      <c r="W80" s="444"/>
      <c r="X80" s="444"/>
      <c r="Y80" s="444"/>
      <c r="Z80" s="444"/>
      <c r="AA80" s="444"/>
      <c r="AB80" s="444"/>
      <c r="AC80" s="444"/>
      <c r="AD80" s="444"/>
      <c r="AE80" s="444"/>
      <c r="AF80" s="444"/>
      <c r="AG80" s="444"/>
      <c r="AH80" s="444"/>
      <c r="AI80" s="444"/>
      <c r="AJ80" s="444"/>
      <c r="AK80" s="444"/>
      <c r="AL80" s="444"/>
      <c r="AM80" s="444"/>
      <c r="AN80" s="444"/>
      <c r="AO80" s="444"/>
      <c r="AP80" s="444"/>
      <c r="AQ80" s="444"/>
      <c r="AR80" s="444"/>
      <c r="AS80" s="444"/>
      <c r="AT80" s="444"/>
      <c r="AU80" s="444"/>
      <c r="AV80" s="444"/>
      <c r="AW80" s="444"/>
      <c r="AX80" s="444"/>
    </row>
    <row r="81" spans="1:50" x14ac:dyDescent="0.25">
      <c r="A81" s="444">
        <v>150</v>
      </c>
      <c r="B81" s="444"/>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444"/>
      <c r="AB81" s="444"/>
      <c r="AC81" s="444"/>
      <c r="AD81" s="444"/>
      <c r="AE81" s="444"/>
      <c r="AF81" s="444"/>
      <c r="AG81" s="444"/>
      <c r="AH81" s="444"/>
      <c r="AI81" s="444"/>
      <c r="AJ81" s="444"/>
      <c r="AK81" s="444"/>
      <c r="AL81" s="444"/>
      <c r="AM81" s="444"/>
      <c r="AN81" s="444"/>
      <c r="AO81" s="444"/>
      <c r="AP81" s="444"/>
      <c r="AQ81" s="444"/>
      <c r="AR81" s="444"/>
      <c r="AS81" s="444"/>
      <c r="AT81" s="444"/>
      <c r="AU81" s="444"/>
      <c r="AV81" s="444"/>
      <c r="AW81" s="444"/>
      <c r="AX81" s="444"/>
    </row>
    <row r="82" spans="1:50" x14ac:dyDescent="0.25">
      <c r="A82" s="444">
        <v>200</v>
      </c>
      <c r="B82" s="444"/>
      <c r="C82" s="444"/>
      <c r="D82" s="444"/>
      <c r="E82" s="444"/>
      <c r="F82" s="444" t="s">
        <v>289</v>
      </c>
      <c r="G82" s="444"/>
      <c r="H82" s="444"/>
      <c r="I82" s="444"/>
      <c r="J82" s="444"/>
      <c r="K82" s="444" t="s">
        <v>290</v>
      </c>
      <c r="L82" s="444"/>
      <c r="M82" s="444"/>
      <c r="N82" s="444">
        <f>IF(M64=I84,1,IF(M64=I85,2,3))</f>
        <v>1</v>
      </c>
      <c r="O82" s="444"/>
      <c r="P82" s="444"/>
      <c r="Q82" s="444"/>
      <c r="R82" s="444"/>
      <c r="S82" s="444"/>
      <c r="T82" s="444"/>
      <c r="U82" s="444"/>
      <c r="V82" s="444"/>
      <c r="W82" s="444"/>
      <c r="X82" s="444"/>
      <c r="Y82" s="444"/>
      <c r="Z82" s="444"/>
      <c r="AA82" s="444"/>
      <c r="AB82" s="444"/>
      <c r="AC82" s="444"/>
      <c r="AD82" s="444"/>
      <c r="AE82" s="444"/>
      <c r="AF82" s="444"/>
      <c r="AG82" s="444"/>
      <c r="AH82" s="444"/>
      <c r="AI82" s="444"/>
      <c r="AJ82" s="444"/>
      <c r="AK82" s="444"/>
      <c r="AL82" s="444"/>
      <c r="AM82" s="444"/>
      <c r="AN82" s="444"/>
      <c r="AO82" s="444"/>
      <c r="AP82" s="444"/>
      <c r="AQ82" s="444"/>
      <c r="AR82" s="444"/>
      <c r="AS82" s="444"/>
      <c r="AT82" s="444"/>
      <c r="AU82" s="444"/>
      <c r="AV82" s="444"/>
      <c r="AW82" s="444"/>
      <c r="AX82" s="444"/>
    </row>
    <row r="83" spans="1:50" x14ac:dyDescent="0.25">
      <c r="A83" s="444"/>
      <c r="B83" s="444"/>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444"/>
      <c r="AB83" s="444"/>
      <c r="AC83" s="444"/>
      <c r="AD83" s="444"/>
      <c r="AE83" s="444"/>
      <c r="AF83" s="444"/>
      <c r="AG83" s="444"/>
      <c r="AH83" s="444"/>
      <c r="AI83" s="444"/>
      <c r="AJ83" s="444"/>
      <c r="AK83" s="444"/>
      <c r="AL83" s="444"/>
      <c r="AM83" s="444"/>
      <c r="AN83" s="444"/>
      <c r="AO83" s="444"/>
      <c r="AP83" s="444"/>
      <c r="AQ83" s="444"/>
      <c r="AR83" s="444"/>
      <c r="AS83" s="444"/>
      <c r="AT83" s="444"/>
      <c r="AU83" s="444"/>
      <c r="AV83" s="444"/>
      <c r="AW83" s="444"/>
      <c r="AX83" s="444"/>
    </row>
    <row r="84" spans="1:50" x14ac:dyDescent="0.25">
      <c r="A84" s="444"/>
      <c r="B84" s="444" t="s">
        <v>266</v>
      </c>
      <c r="C84" s="444"/>
      <c r="D84" s="444" t="s">
        <v>267</v>
      </c>
      <c r="E84" s="444"/>
      <c r="F84" s="444" t="s">
        <v>268</v>
      </c>
      <c r="G84" s="444">
        <f>G64*G70/1000000</f>
        <v>0</v>
      </c>
      <c r="H84" s="444"/>
      <c r="I84" s="444" t="s">
        <v>289</v>
      </c>
      <c r="J84" s="444"/>
      <c r="K84" s="444" t="s">
        <v>268</v>
      </c>
      <c r="L84" s="444">
        <f>G64*G70/1000000</f>
        <v>0</v>
      </c>
      <c r="M84" s="444"/>
      <c r="N84" s="444" t="s">
        <v>293</v>
      </c>
      <c r="O84" s="444" t="e">
        <f>IF(N82=1,G91,IF(I85=2,L91,IF(G91&gt;L91,G91,L91)))</f>
        <v>#DIV/0!</v>
      </c>
      <c r="P84" s="444"/>
      <c r="Q84" s="444"/>
      <c r="R84" s="444"/>
      <c r="S84" s="444"/>
      <c r="T84" s="444"/>
      <c r="U84" s="444"/>
      <c r="V84" s="444"/>
      <c r="W84" s="444"/>
      <c r="X84" s="444"/>
      <c r="Y84" s="444"/>
      <c r="Z84" s="444"/>
      <c r="AA84" s="444"/>
      <c r="AB84" s="444"/>
      <c r="AC84" s="444"/>
      <c r="AD84" s="444"/>
      <c r="AE84" s="444"/>
      <c r="AF84" s="444"/>
      <c r="AG84" s="444"/>
      <c r="AH84" s="444"/>
      <c r="AI84" s="444"/>
      <c r="AJ84" s="444"/>
      <c r="AK84" s="444"/>
      <c r="AL84" s="444"/>
      <c r="AM84" s="444"/>
      <c r="AN84" s="444"/>
      <c r="AO84" s="444"/>
      <c r="AP84" s="444"/>
      <c r="AQ84" s="444"/>
      <c r="AR84" s="444"/>
      <c r="AS84" s="444"/>
      <c r="AT84" s="444"/>
      <c r="AU84" s="444"/>
      <c r="AV84" s="444"/>
      <c r="AW84" s="444"/>
      <c r="AX84" s="444"/>
    </row>
    <row r="85" spans="1:50" x14ac:dyDescent="0.25">
      <c r="A85" s="444">
        <v>1</v>
      </c>
      <c r="B85" s="444">
        <v>400</v>
      </c>
      <c r="C85" s="444"/>
      <c r="D85" s="444">
        <v>336</v>
      </c>
      <c r="E85" s="444"/>
      <c r="F85" s="444" t="s">
        <v>269</v>
      </c>
      <c r="G85" s="444">
        <f>Q41*G84*1000</f>
        <v>0</v>
      </c>
      <c r="H85" s="444"/>
      <c r="I85" s="444" t="s">
        <v>290</v>
      </c>
      <c r="J85" s="444"/>
      <c r="K85" s="444" t="s">
        <v>269</v>
      </c>
      <c r="L85" s="444">
        <f>Q41*L84*1000</f>
        <v>0</v>
      </c>
      <c r="M85" s="444"/>
      <c r="N85" s="444" t="s">
        <v>294</v>
      </c>
      <c r="O85" s="444" t="e">
        <f>O84+W19</f>
        <v>#DIV/0!</v>
      </c>
      <c r="P85" s="444"/>
      <c r="Q85" s="444"/>
      <c r="R85" s="444"/>
      <c r="S85" s="444"/>
      <c r="T85" s="444"/>
      <c r="U85" s="444"/>
      <c r="V85" s="444"/>
      <c r="W85" s="444"/>
      <c r="X85" s="444"/>
      <c r="Y85" s="444"/>
      <c r="Z85" s="444"/>
      <c r="AA85" s="444"/>
      <c r="AB85" s="444"/>
      <c r="AC85" s="444"/>
      <c r="AD85" s="444"/>
      <c r="AE85" s="444"/>
      <c r="AF85" s="444"/>
      <c r="AG85" s="444"/>
      <c r="AH85" s="444"/>
      <c r="AI85" s="444"/>
      <c r="AJ85" s="444"/>
      <c r="AK85" s="444"/>
      <c r="AL85" s="444"/>
      <c r="AM85" s="444"/>
      <c r="AN85" s="444"/>
      <c r="AO85" s="444"/>
      <c r="AP85" s="444"/>
      <c r="AQ85" s="444"/>
      <c r="AR85" s="444"/>
      <c r="AS85" s="444"/>
      <c r="AT85" s="444"/>
      <c r="AU85" s="444"/>
      <c r="AV85" s="444"/>
      <c r="AW85" s="444"/>
      <c r="AX85" s="444"/>
    </row>
    <row r="86" spans="1:50" x14ac:dyDescent="0.25">
      <c r="A86" s="444">
        <v>2</v>
      </c>
      <c r="B86" s="444">
        <v>600</v>
      </c>
      <c r="C86" s="444"/>
      <c r="D86" s="444">
        <v>506</v>
      </c>
      <c r="E86" s="444"/>
      <c r="F86" s="444" t="s">
        <v>270</v>
      </c>
      <c r="G86" s="444">
        <f>G85*G70/2000</f>
        <v>0</v>
      </c>
      <c r="H86" s="444"/>
      <c r="I86" s="444" t="s">
        <v>284</v>
      </c>
      <c r="J86" s="444"/>
      <c r="K86" s="444" t="s">
        <v>270</v>
      </c>
      <c r="L86" s="444">
        <f>L85*G70/2000</f>
        <v>0</v>
      </c>
      <c r="M86" s="444"/>
      <c r="N86" s="444"/>
      <c r="O86" s="444"/>
      <c r="P86" s="444"/>
      <c r="Q86" s="444"/>
      <c r="R86" s="444"/>
      <c r="S86" s="444"/>
      <c r="T86" s="444"/>
      <c r="U86" s="444"/>
      <c r="V86" s="444"/>
      <c r="W86" s="444"/>
      <c r="X86" s="444"/>
      <c r="Y86" s="444"/>
      <c r="Z86" s="444"/>
      <c r="AA86" s="444"/>
      <c r="AB86" s="444"/>
      <c r="AC86" s="444"/>
      <c r="AD86" s="444"/>
      <c r="AE86" s="444"/>
      <c r="AF86" s="444"/>
      <c r="AG86" s="444"/>
      <c r="AH86" s="444"/>
      <c r="AI86" s="444"/>
      <c r="AJ86" s="444"/>
      <c r="AK86" s="444"/>
      <c r="AL86" s="444"/>
      <c r="AM86" s="444"/>
      <c r="AN86" s="444"/>
      <c r="AO86" s="444"/>
      <c r="AP86" s="444"/>
      <c r="AQ86" s="444"/>
      <c r="AR86" s="444"/>
      <c r="AS86" s="444"/>
      <c r="AT86" s="444"/>
      <c r="AU86" s="444"/>
      <c r="AV86" s="444"/>
      <c r="AW86" s="444"/>
      <c r="AX86" s="444"/>
    </row>
    <row r="87" spans="1:50" x14ac:dyDescent="0.25">
      <c r="A87" s="444">
        <v>3</v>
      </c>
      <c r="B87" s="444">
        <v>800</v>
      </c>
      <c r="C87" s="444"/>
      <c r="D87" s="444">
        <v>676</v>
      </c>
      <c r="E87" s="444"/>
      <c r="F87" s="444" t="s">
        <v>271</v>
      </c>
      <c r="G87" s="444">
        <f>IF(M68&gt;G47/2,M68,G47-M68)/1000</f>
        <v>0</v>
      </c>
      <c r="H87" s="444"/>
      <c r="I87" s="444"/>
      <c r="J87" s="444"/>
      <c r="K87" s="444" t="s">
        <v>271</v>
      </c>
      <c r="L87" s="444">
        <f>IF(M66&gt;G45/2,M66,G45-M66)/1000</f>
        <v>0</v>
      </c>
      <c r="M87" s="444"/>
      <c r="N87" s="444"/>
      <c r="O87" s="444"/>
      <c r="P87" s="444"/>
      <c r="Q87" s="444"/>
      <c r="R87" s="444"/>
      <c r="S87" s="444"/>
      <c r="T87" s="444"/>
      <c r="U87" s="444"/>
      <c r="V87" s="444"/>
      <c r="W87" s="444"/>
      <c r="X87" s="444"/>
      <c r="Y87" s="444"/>
      <c r="Z87" s="444"/>
      <c r="AA87" s="444"/>
      <c r="AB87" s="444"/>
      <c r="AC87" s="444"/>
      <c r="AD87" s="444"/>
      <c r="AE87" s="444"/>
      <c r="AF87" s="444"/>
      <c r="AG87" s="444"/>
      <c r="AH87" s="444"/>
      <c r="AI87" s="444"/>
      <c r="AJ87" s="444"/>
      <c r="AK87" s="444"/>
      <c r="AL87" s="444"/>
      <c r="AM87" s="444"/>
      <c r="AN87" s="444"/>
      <c r="AO87" s="444"/>
      <c r="AP87" s="444"/>
      <c r="AQ87" s="444"/>
      <c r="AR87" s="444"/>
      <c r="AS87" s="444"/>
      <c r="AT87" s="444"/>
      <c r="AU87" s="444"/>
      <c r="AV87" s="444"/>
      <c r="AW87" s="444"/>
      <c r="AX87" s="444"/>
    </row>
    <row r="88" spans="1:50" x14ac:dyDescent="0.25">
      <c r="A88" s="444">
        <v>4</v>
      </c>
      <c r="B88" s="444">
        <v>1000</v>
      </c>
      <c r="C88" s="444"/>
      <c r="D88" s="444">
        <v>846</v>
      </c>
      <c r="E88" s="444"/>
      <c r="F88" s="444" t="s">
        <v>272</v>
      </c>
      <c r="G88" s="444">
        <f>G47/1000</f>
        <v>0</v>
      </c>
      <c r="H88" s="444"/>
      <c r="I88" s="444"/>
      <c r="J88" s="444"/>
      <c r="K88" s="444" t="s">
        <v>272</v>
      </c>
      <c r="L88" s="444">
        <f>G45/1000</f>
        <v>0</v>
      </c>
      <c r="M88" s="444"/>
      <c r="N88" s="444"/>
      <c r="O88" s="444"/>
      <c r="P88" s="444"/>
      <c r="Q88" s="444"/>
      <c r="R88" s="444"/>
      <c r="S88" s="444"/>
      <c r="T88" s="444"/>
      <c r="U88" s="444"/>
      <c r="V88" s="444"/>
      <c r="W88" s="444"/>
      <c r="X88" s="444"/>
      <c r="Y88" s="444"/>
      <c r="Z88" s="444"/>
      <c r="AA88" s="444"/>
      <c r="AB88" s="444"/>
      <c r="AC88" s="444"/>
      <c r="AD88" s="444"/>
      <c r="AE88" s="444"/>
      <c r="AF88" s="444"/>
      <c r="AG88" s="444"/>
      <c r="AH88" s="444"/>
      <c r="AI88" s="444"/>
      <c r="AJ88" s="444"/>
      <c r="AK88" s="444"/>
      <c r="AL88" s="444"/>
      <c r="AM88" s="444"/>
      <c r="AN88" s="444"/>
      <c r="AO88" s="444"/>
      <c r="AP88" s="444"/>
      <c r="AQ88" s="444"/>
      <c r="AR88" s="444"/>
      <c r="AS88" s="444"/>
      <c r="AT88" s="444"/>
      <c r="AU88" s="444"/>
      <c r="AV88" s="444"/>
      <c r="AW88" s="444"/>
      <c r="AX88" s="444"/>
    </row>
    <row r="89" spans="1:50" x14ac:dyDescent="0.25">
      <c r="A89" s="444">
        <v>5</v>
      </c>
      <c r="B89" s="444">
        <v>1200</v>
      </c>
      <c r="C89" s="444"/>
      <c r="D89" s="444">
        <v>1016</v>
      </c>
      <c r="E89" s="444"/>
      <c r="F89" s="444" t="s">
        <v>273</v>
      </c>
      <c r="G89" s="444">
        <f>((6*G88*G87-2*G88^2-3*G87^2)/3)^(1/2)</f>
        <v>0</v>
      </c>
      <c r="H89" s="444"/>
      <c r="I89" s="444"/>
      <c r="J89" s="444"/>
      <c r="K89" s="444" t="s">
        <v>273</v>
      </c>
      <c r="L89" s="444">
        <f>((6*L88*L87-2*L88^2-3*L87^2)/3)^(1/2)</f>
        <v>0</v>
      </c>
      <c r="M89" s="444"/>
      <c r="N89" s="444"/>
      <c r="O89" s="444"/>
      <c r="P89" s="444"/>
      <c r="Q89" s="444"/>
      <c r="R89" s="444"/>
      <c r="S89" s="444"/>
      <c r="T89" s="444"/>
      <c r="U89" s="444"/>
      <c r="V89" s="444"/>
      <c r="W89" s="444"/>
      <c r="X89" s="444"/>
      <c r="Y89" s="444"/>
      <c r="Z89" s="444"/>
      <c r="AA89" s="444"/>
      <c r="AB89" s="444"/>
      <c r="AC89" s="444"/>
      <c r="AD89" s="444"/>
      <c r="AE89" s="444"/>
      <c r="AF89" s="444"/>
      <c r="AG89" s="444"/>
      <c r="AH89" s="444"/>
      <c r="AI89" s="444"/>
      <c r="AJ89" s="444"/>
      <c r="AK89" s="444"/>
      <c r="AL89" s="444"/>
      <c r="AM89" s="444"/>
      <c r="AN89" s="444"/>
      <c r="AO89" s="444"/>
      <c r="AP89" s="444"/>
      <c r="AQ89" s="444"/>
      <c r="AR89" s="444"/>
      <c r="AS89" s="444"/>
      <c r="AT89" s="444"/>
      <c r="AU89" s="444"/>
      <c r="AV89" s="444"/>
      <c r="AW89" s="444"/>
      <c r="AX89" s="444"/>
    </row>
    <row r="90" spans="1:50" x14ac:dyDescent="0.25">
      <c r="A90" s="444">
        <v>6</v>
      </c>
      <c r="B90" s="444">
        <v>1400</v>
      </c>
      <c r="C90" s="444"/>
      <c r="D90" s="444">
        <v>1356</v>
      </c>
      <c r="E90" s="444"/>
      <c r="F90" s="444" t="s">
        <v>292</v>
      </c>
      <c r="G90" s="444" t="e">
        <f>ABS((-G86*G89^3+G86*G89*6*G88*G87-2*G88^2*G86*G89-3*G87^2*G86*G89)/(6*G88))/(W8*W9)</f>
        <v>#DIV/0!</v>
      </c>
      <c r="H90" s="444"/>
      <c r="I90" s="444"/>
      <c r="J90" s="444"/>
      <c r="K90" s="444" t="s">
        <v>292</v>
      </c>
      <c r="L90" s="444" t="e">
        <f>ABS((-L86*L89^3+L86*L89*6*L88*L87-2*L88^2*L86*L89-3*L87^2*L86*L89)/(6*L88))/(W8*W9)</f>
        <v>#DIV/0!</v>
      </c>
      <c r="M90" s="444"/>
      <c r="N90" s="444"/>
      <c r="O90" s="444"/>
      <c r="P90" s="444"/>
      <c r="Q90" s="444"/>
      <c r="R90" s="444"/>
      <c r="S90" s="444"/>
      <c r="T90" s="444"/>
      <c r="U90" s="444"/>
      <c r="V90" s="444"/>
      <c r="W90" s="444"/>
      <c r="X90" s="444"/>
      <c r="Y90" s="444"/>
      <c r="Z90" s="444"/>
      <c r="AA90" s="444"/>
      <c r="AB90" s="444"/>
      <c r="AC90" s="444"/>
      <c r="AD90" s="444"/>
      <c r="AE90" s="444"/>
      <c r="AF90" s="444"/>
      <c r="AG90" s="444"/>
      <c r="AH90" s="444"/>
      <c r="AI90" s="444"/>
      <c r="AJ90" s="444"/>
      <c r="AK90" s="444"/>
      <c r="AL90" s="444"/>
      <c r="AM90" s="444"/>
      <c r="AN90" s="444"/>
      <c r="AO90" s="444"/>
      <c r="AP90" s="444"/>
      <c r="AQ90" s="444"/>
      <c r="AR90" s="444"/>
      <c r="AS90" s="444"/>
      <c r="AT90" s="444"/>
      <c r="AU90" s="444"/>
      <c r="AV90" s="444"/>
      <c r="AW90" s="444"/>
      <c r="AX90" s="444"/>
    </row>
    <row r="91" spans="1:50" x14ac:dyDescent="0.25">
      <c r="A91" s="444">
        <v>7</v>
      </c>
      <c r="B91" s="444">
        <v>1600</v>
      </c>
      <c r="C91" s="444"/>
      <c r="D91" s="444">
        <v>1526</v>
      </c>
      <c r="E91" s="444"/>
      <c r="F91" s="444" t="s">
        <v>274</v>
      </c>
      <c r="G91" s="444" t="e">
        <f>G90*100000000</f>
        <v>#DIV/0!</v>
      </c>
      <c r="H91" s="444"/>
      <c r="I91" s="444"/>
      <c r="J91" s="444"/>
      <c r="K91" s="444" t="s">
        <v>274</v>
      </c>
      <c r="L91" s="444" t="e">
        <f>L90*100000000</f>
        <v>#DIV/0!</v>
      </c>
      <c r="M91" s="444"/>
      <c r="N91" s="444"/>
      <c r="O91" s="444"/>
      <c r="P91" s="444"/>
      <c r="Q91" s="444"/>
      <c r="R91" s="444"/>
      <c r="S91" s="444"/>
      <c r="T91" s="444"/>
      <c r="U91" s="444"/>
      <c r="V91" s="444"/>
      <c r="W91" s="444"/>
      <c r="X91" s="444"/>
      <c r="Y91" s="444"/>
      <c r="Z91" s="444"/>
      <c r="AA91" s="444"/>
      <c r="AB91" s="444"/>
      <c r="AC91" s="444"/>
      <c r="AD91" s="444"/>
      <c r="AE91" s="444"/>
      <c r="AF91" s="444"/>
      <c r="AG91" s="444"/>
      <c r="AH91" s="444"/>
      <c r="AI91" s="444"/>
      <c r="AJ91" s="444"/>
      <c r="AK91" s="444"/>
      <c r="AL91" s="444"/>
      <c r="AM91" s="444"/>
      <c r="AN91" s="444"/>
      <c r="AO91" s="444"/>
      <c r="AP91" s="444"/>
      <c r="AQ91" s="444"/>
      <c r="AR91" s="444"/>
      <c r="AS91" s="444"/>
      <c r="AT91" s="444"/>
      <c r="AU91" s="444"/>
      <c r="AV91" s="444"/>
      <c r="AW91" s="444"/>
      <c r="AX91" s="444"/>
    </row>
    <row r="92" spans="1:50" x14ac:dyDescent="0.25">
      <c r="A92" s="444"/>
      <c r="B92" s="444"/>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444"/>
      <c r="AB92" s="444"/>
      <c r="AC92" s="444"/>
      <c r="AD92" s="444"/>
      <c r="AE92" s="444"/>
      <c r="AF92" s="444"/>
      <c r="AG92" s="444"/>
      <c r="AH92" s="444"/>
      <c r="AI92" s="444"/>
      <c r="AJ92" s="444"/>
      <c r="AK92" s="444"/>
      <c r="AL92" s="444"/>
      <c r="AM92" s="444"/>
      <c r="AN92" s="444"/>
      <c r="AO92" s="444"/>
      <c r="AP92" s="444"/>
      <c r="AQ92" s="444"/>
      <c r="AR92" s="444"/>
      <c r="AS92" s="444"/>
      <c r="AT92" s="444"/>
      <c r="AU92" s="444"/>
      <c r="AV92" s="444"/>
      <c r="AW92" s="444"/>
      <c r="AX92" s="444"/>
    </row>
    <row r="93" spans="1:50" x14ac:dyDescent="0.25">
      <c r="A93" s="444"/>
      <c r="B93" s="444">
        <f>IF(G68=1,B85,IF(G68=2,B86,IF(G68=3,B87,IF(G68=4,B88,IF(G68=5,B89,IF(G68=6,B90,B91))))))</f>
        <v>400</v>
      </c>
      <c r="C93" s="444"/>
      <c r="D93" s="444">
        <f>IF(G68=1,D85,IF(G68=2,D86,IF(G68=3,D87,IF(G68=4,D88,IF(G68=5,D89,IF(G68=6,D90,D91))))))</f>
        <v>336</v>
      </c>
      <c r="E93" s="444"/>
      <c r="F93" s="444"/>
      <c r="G93" s="444"/>
      <c r="H93" s="444"/>
      <c r="I93" s="444"/>
      <c r="J93" s="444"/>
      <c r="K93" s="444"/>
      <c r="L93" s="444"/>
      <c r="M93" s="444"/>
      <c r="N93" s="444"/>
      <c r="O93" s="444"/>
      <c r="P93" s="444"/>
      <c r="Q93" s="444"/>
      <c r="R93" s="444"/>
      <c r="S93" s="444"/>
      <c r="T93" s="444"/>
      <c r="U93" s="444"/>
      <c r="V93" s="444"/>
      <c r="W93" s="444"/>
      <c r="X93" s="444"/>
      <c r="Y93" s="444"/>
      <c r="Z93" s="444"/>
      <c r="AA93" s="444"/>
      <c r="AB93" s="444"/>
      <c r="AC93" s="444"/>
      <c r="AD93" s="444"/>
      <c r="AE93" s="444"/>
      <c r="AF93" s="444"/>
      <c r="AG93" s="444"/>
      <c r="AH93" s="444"/>
      <c r="AI93" s="444"/>
      <c r="AJ93" s="444"/>
      <c r="AK93" s="444"/>
      <c r="AL93" s="444"/>
      <c r="AM93" s="444"/>
      <c r="AN93" s="444"/>
      <c r="AO93" s="444"/>
      <c r="AP93" s="444"/>
      <c r="AQ93" s="444"/>
      <c r="AR93" s="444"/>
      <c r="AS93" s="444"/>
      <c r="AT93" s="444"/>
      <c r="AU93" s="444"/>
      <c r="AV93" s="444"/>
      <c r="AW93" s="444"/>
      <c r="AX93" s="444"/>
    </row>
    <row r="94" spans="1:50" x14ac:dyDescent="0.25">
      <c r="A94" s="444"/>
      <c r="B94" s="444"/>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444"/>
      <c r="AB94" s="444"/>
      <c r="AC94" s="444"/>
      <c r="AD94" s="444"/>
      <c r="AE94" s="444"/>
      <c r="AF94" s="444"/>
      <c r="AG94" s="444"/>
      <c r="AH94" s="444"/>
      <c r="AI94" s="444"/>
      <c r="AJ94" s="444"/>
      <c r="AK94" s="444"/>
      <c r="AL94" s="444"/>
      <c r="AM94" s="444"/>
      <c r="AN94" s="444"/>
      <c r="AO94" s="444"/>
      <c r="AP94" s="444"/>
      <c r="AQ94" s="444"/>
      <c r="AR94" s="444"/>
      <c r="AS94" s="444"/>
      <c r="AT94" s="444"/>
      <c r="AU94" s="444"/>
      <c r="AV94" s="444"/>
      <c r="AW94" s="444"/>
      <c r="AX94" s="444"/>
    </row>
    <row r="95" spans="1:50" x14ac:dyDescent="0.25">
      <c r="A95" s="444"/>
      <c r="B95" s="444">
        <f>IF(G66=150,D93,B93)</f>
        <v>336</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444"/>
      <c r="AB95" s="444"/>
      <c r="AC95" s="444"/>
      <c r="AD95" s="444"/>
      <c r="AE95" s="444"/>
      <c r="AF95" s="444"/>
      <c r="AG95" s="444"/>
      <c r="AH95" s="444"/>
      <c r="AI95" s="444"/>
      <c r="AJ95" s="444"/>
      <c r="AK95" s="444"/>
      <c r="AL95" s="444"/>
      <c r="AM95" s="444"/>
      <c r="AN95" s="444"/>
      <c r="AO95" s="444"/>
      <c r="AP95" s="444"/>
      <c r="AQ95" s="444"/>
      <c r="AR95" s="444"/>
      <c r="AS95" s="444"/>
      <c r="AT95" s="444"/>
      <c r="AU95" s="444"/>
      <c r="AV95" s="444"/>
      <c r="AW95" s="444"/>
      <c r="AX95" s="444"/>
    </row>
    <row r="96" spans="1:50" x14ac:dyDescent="0.25">
      <c r="A96" s="444"/>
      <c r="B96" s="444"/>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444"/>
      <c r="AB96" s="444"/>
      <c r="AC96" s="444"/>
      <c r="AD96" s="444"/>
      <c r="AE96" s="444"/>
      <c r="AF96" s="444"/>
      <c r="AG96" s="444"/>
      <c r="AH96" s="444"/>
      <c r="AI96" s="444"/>
      <c r="AJ96" s="444"/>
      <c r="AK96" s="444"/>
      <c r="AL96" s="444"/>
      <c r="AM96" s="444"/>
      <c r="AN96" s="444"/>
      <c r="AO96" s="444"/>
      <c r="AP96" s="444"/>
      <c r="AQ96" s="444"/>
      <c r="AR96" s="444"/>
      <c r="AS96" s="444"/>
      <c r="AT96" s="444"/>
      <c r="AU96" s="444"/>
      <c r="AV96" s="444"/>
      <c r="AW96" s="444"/>
      <c r="AX96" s="444"/>
    </row>
    <row r="97" spans="1:50" x14ac:dyDescent="0.25">
      <c r="A97" s="444"/>
      <c r="B97" s="444"/>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444"/>
      <c r="AB97" s="444"/>
      <c r="AC97" s="444"/>
      <c r="AD97" s="444"/>
      <c r="AE97" s="444"/>
      <c r="AF97" s="444"/>
      <c r="AG97" s="444"/>
      <c r="AH97" s="444"/>
      <c r="AI97" s="444"/>
      <c r="AJ97" s="444"/>
      <c r="AK97" s="444"/>
      <c r="AL97" s="444"/>
      <c r="AM97" s="444"/>
      <c r="AN97" s="444"/>
      <c r="AO97" s="444"/>
      <c r="AP97" s="444"/>
      <c r="AQ97" s="444"/>
      <c r="AR97" s="444"/>
      <c r="AS97" s="444"/>
      <c r="AT97" s="444"/>
      <c r="AU97" s="444"/>
      <c r="AV97" s="444"/>
      <c r="AW97" s="444"/>
      <c r="AX97" s="444"/>
    </row>
    <row r="98" spans="1:50" x14ac:dyDescent="0.25">
      <c r="A98" s="444"/>
      <c r="B98" s="444"/>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444"/>
      <c r="AB98" s="444"/>
      <c r="AC98" s="444"/>
      <c r="AD98" s="444"/>
      <c r="AE98" s="444"/>
      <c r="AF98" s="444"/>
      <c r="AG98" s="444"/>
      <c r="AH98" s="444"/>
      <c r="AI98" s="444"/>
      <c r="AJ98" s="444"/>
      <c r="AK98" s="444"/>
      <c r="AL98" s="444"/>
      <c r="AM98" s="444"/>
      <c r="AN98" s="444"/>
      <c r="AO98" s="444"/>
      <c r="AP98" s="444"/>
      <c r="AQ98" s="444"/>
      <c r="AR98" s="444"/>
      <c r="AS98" s="444"/>
      <c r="AT98" s="444"/>
      <c r="AU98" s="444"/>
      <c r="AV98" s="444"/>
      <c r="AW98" s="444"/>
      <c r="AX98" s="444"/>
    </row>
    <row r="99" spans="1:50" x14ac:dyDescent="0.25">
      <c r="A99" s="444"/>
      <c r="B99" s="444"/>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444"/>
      <c r="AB99" s="444"/>
      <c r="AC99" s="444"/>
      <c r="AD99" s="444"/>
      <c r="AE99" s="444"/>
      <c r="AF99" s="444"/>
      <c r="AG99" s="444"/>
      <c r="AH99" s="444"/>
      <c r="AI99" s="444"/>
      <c r="AJ99" s="444"/>
      <c r="AK99" s="444"/>
      <c r="AL99" s="444"/>
      <c r="AM99" s="444"/>
      <c r="AN99" s="444"/>
      <c r="AO99" s="444"/>
      <c r="AP99" s="444"/>
      <c r="AQ99" s="444"/>
      <c r="AR99" s="444"/>
      <c r="AS99" s="444"/>
      <c r="AT99" s="444"/>
      <c r="AU99" s="444"/>
      <c r="AV99" s="444"/>
      <c r="AW99" s="444"/>
      <c r="AX99" s="444"/>
    </row>
    <row r="100" spans="1:50" x14ac:dyDescent="0.25">
      <c r="A100" s="444"/>
      <c r="B100" s="444"/>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444"/>
      <c r="AB100" s="444"/>
      <c r="AC100" s="444"/>
      <c r="AD100" s="444"/>
      <c r="AE100" s="444"/>
      <c r="AF100" s="444"/>
      <c r="AG100" s="444"/>
      <c r="AH100" s="444"/>
      <c r="AI100" s="444"/>
      <c r="AJ100" s="444"/>
      <c r="AK100" s="444"/>
      <c r="AL100" s="444"/>
      <c r="AM100" s="444"/>
      <c r="AN100" s="444"/>
      <c r="AO100" s="444"/>
      <c r="AP100" s="444"/>
      <c r="AQ100" s="444"/>
      <c r="AR100" s="444"/>
      <c r="AS100" s="444"/>
      <c r="AT100" s="444"/>
      <c r="AU100" s="444"/>
      <c r="AV100" s="444"/>
      <c r="AW100" s="444"/>
      <c r="AX100" s="444"/>
    </row>
    <row r="101" spans="1:50" x14ac:dyDescent="0.25">
      <c r="A101" s="444"/>
      <c r="B101" s="444"/>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444"/>
      <c r="AB101" s="444"/>
      <c r="AC101" s="444"/>
      <c r="AD101" s="444"/>
      <c r="AE101" s="444"/>
      <c r="AF101" s="444"/>
      <c r="AG101" s="444"/>
      <c r="AH101" s="444"/>
      <c r="AI101" s="444"/>
      <c r="AJ101" s="444"/>
      <c r="AK101" s="444"/>
      <c r="AL101" s="444"/>
      <c r="AM101" s="444"/>
      <c r="AN101" s="444"/>
      <c r="AO101" s="444"/>
      <c r="AP101" s="444"/>
      <c r="AQ101" s="444"/>
      <c r="AR101" s="444"/>
      <c r="AS101" s="444"/>
      <c r="AT101" s="444"/>
      <c r="AU101" s="444"/>
      <c r="AV101" s="444"/>
      <c r="AW101" s="444"/>
      <c r="AX101" s="444"/>
    </row>
    <row r="102" spans="1:50" x14ac:dyDescent="0.25">
      <c r="A102" s="444"/>
      <c r="B102" s="444"/>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444"/>
      <c r="AB102" s="444"/>
      <c r="AC102" s="444"/>
      <c r="AD102" s="444"/>
      <c r="AE102" s="444"/>
      <c r="AF102" s="444"/>
      <c r="AG102" s="444"/>
      <c r="AH102" s="444"/>
      <c r="AI102" s="444"/>
      <c r="AJ102" s="444"/>
      <c r="AK102" s="444"/>
      <c r="AL102" s="444"/>
      <c r="AM102" s="444"/>
      <c r="AN102" s="444"/>
      <c r="AO102" s="444"/>
      <c r="AP102" s="444"/>
      <c r="AQ102" s="444"/>
      <c r="AR102" s="444"/>
      <c r="AS102" s="444"/>
      <c r="AT102" s="444"/>
      <c r="AU102" s="444"/>
      <c r="AV102" s="444"/>
      <c r="AW102" s="444"/>
      <c r="AX102" s="444"/>
    </row>
    <row r="103" spans="1:50" x14ac:dyDescent="0.25">
      <c r="A103" s="444"/>
      <c r="B103" s="444"/>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444"/>
      <c r="AB103" s="444"/>
      <c r="AC103" s="444"/>
      <c r="AD103" s="444"/>
      <c r="AE103" s="444"/>
      <c r="AF103" s="444"/>
      <c r="AG103" s="444"/>
      <c r="AH103" s="444"/>
      <c r="AI103" s="444"/>
      <c r="AJ103" s="444"/>
      <c r="AK103" s="444"/>
      <c r="AL103" s="444"/>
      <c r="AM103" s="444"/>
      <c r="AN103" s="444"/>
      <c r="AO103" s="444"/>
      <c r="AP103" s="444"/>
      <c r="AQ103" s="444"/>
      <c r="AR103" s="444"/>
      <c r="AS103" s="444"/>
      <c r="AT103" s="444"/>
      <c r="AU103" s="444"/>
      <c r="AV103" s="444"/>
      <c r="AW103" s="444"/>
      <c r="AX103" s="444"/>
    </row>
    <row r="104" spans="1:50" x14ac:dyDescent="0.25">
      <c r="T104" s="444"/>
      <c r="U104" s="444"/>
      <c r="V104" s="444"/>
      <c r="W104" s="444"/>
      <c r="X104" s="444"/>
      <c r="Y104" s="444"/>
      <c r="Z104" s="444"/>
      <c r="AA104" s="444"/>
      <c r="AB104" s="444"/>
      <c r="AC104" s="444"/>
      <c r="AD104" s="444"/>
      <c r="AE104" s="444"/>
      <c r="AF104" s="444"/>
      <c r="AG104" s="444"/>
      <c r="AH104" s="444"/>
      <c r="AI104" s="444"/>
      <c r="AJ104" s="444"/>
      <c r="AK104" s="444"/>
      <c r="AL104" s="444"/>
      <c r="AM104" s="444"/>
      <c r="AN104" s="444"/>
      <c r="AO104" s="444"/>
      <c r="AP104" s="444"/>
      <c r="AQ104" s="444"/>
      <c r="AR104" s="444"/>
      <c r="AS104" s="444"/>
      <c r="AT104" s="444"/>
      <c r="AU104" s="444"/>
      <c r="AV104" s="444"/>
      <c r="AW104" s="444"/>
      <c r="AX104" s="444"/>
    </row>
    <row r="105" spans="1:50" x14ac:dyDescent="0.25">
      <c r="T105" s="444"/>
      <c r="U105" s="444"/>
      <c r="V105" s="444"/>
      <c r="W105" s="444"/>
      <c r="X105" s="444"/>
      <c r="Y105" s="444"/>
      <c r="Z105" s="444"/>
      <c r="AA105" s="444"/>
      <c r="AB105" s="444"/>
      <c r="AC105" s="444"/>
      <c r="AD105" s="444"/>
      <c r="AE105" s="444"/>
      <c r="AF105" s="444"/>
      <c r="AG105" s="444"/>
      <c r="AH105" s="444"/>
      <c r="AI105" s="444"/>
      <c r="AJ105" s="444"/>
      <c r="AK105" s="444"/>
      <c r="AL105" s="444"/>
      <c r="AM105" s="444"/>
      <c r="AN105" s="444"/>
      <c r="AO105" s="444"/>
      <c r="AP105" s="444"/>
      <c r="AQ105" s="444"/>
      <c r="AR105" s="444"/>
      <c r="AS105" s="444"/>
      <c r="AT105" s="444"/>
      <c r="AU105" s="444"/>
      <c r="AV105" s="444"/>
      <c r="AW105" s="444"/>
      <c r="AX105" s="444"/>
    </row>
    <row r="106" spans="1:50" x14ac:dyDescent="0.25">
      <c r="T106" s="444"/>
      <c r="U106" s="444"/>
      <c r="V106" s="444"/>
      <c r="W106" s="444"/>
      <c r="X106" s="444"/>
      <c r="Y106" s="444"/>
      <c r="Z106" s="444"/>
      <c r="AA106" s="444"/>
      <c r="AB106" s="444"/>
      <c r="AC106" s="444"/>
      <c r="AD106" s="444"/>
      <c r="AE106" s="444"/>
      <c r="AF106" s="444"/>
      <c r="AG106" s="444"/>
      <c r="AH106" s="444"/>
      <c r="AI106" s="444"/>
      <c r="AJ106" s="444"/>
      <c r="AK106" s="444"/>
      <c r="AL106" s="444"/>
      <c r="AM106" s="444"/>
      <c r="AN106" s="444"/>
      <c r="AO106" s="444"/>
      <c r="AP106" s="444"/>
      <c r="AQ106" s="444"/>
      <c r="AR106" s="444"/>
      <c r="AS106" s="444"/>
      <c r="AT106" s="444"/>
      <c r="AU106" s="444"/>
      <c r="AV106" s="444"/>
      <c r="AW106" s="444"/>
      <c r="AX106" s="444"/>
    </row>
    <row r="107" spans="1:50" x14ac:dyDescent="0.25">
      <c r="T107" s="444"/>
      <c r="U107" s="444"/>
      <c r="V107" s="444"/>
      <c r="W107" s="444"/>
      <c r="X107" s="444"/>
      <c r="Y107" s="444"/>
      <c r="Z107" s="444"/>
      <c r="AA107" s="444"/>
      <c r="AB107" s="444"/>
      <c r="AC107" s="444"/>
      <c r="AD107" s="444"/>
      <c r="AE107" s="444"/>
      <c r="AF107" s="444"/>
      <c r="AG107" s="444"/>
      <c r="AH107" s="444"/>
      <c r="AI107" s="444"/>
      <c r="AJ107" s="444"/>
      <c r="AK107" s="444"/>
      <c r="AL107" s="444"/>
      <c r="AM107" s="444"/>
      <c r="AN107" s="444"/>
      <c r="AO107" s="444"/>
      <c r="AP107" s="444"/>
      <c r="AQ107" s="444"/>
      <c r="AR107" s="444"/>
      <c r="AS107" s="444"/>
      <c r="AT107" s="444"/>
      <c r="AU107" s="444"/>
      <c r="AV107" s="444"/>
      <c r="AW107" s="444"/>
      <c r="AX107" s="444"/>
    </row>
    <row r="108" spans="1:50" x14ac:dyDescent="0.25">
      <c r="T108" s="444"/>
      <c r="U108" s="444"/>
      <c r="V108" s="444"/>
      <c r="W108" s="444"/>
      <c r="X108" s="444"/>
      <c r="Y108" s="444"/>
      <c r="Z108" s="444"/>
      <c r="AA108" s="444"/>
      <c r="AB108" s="444"/>
      <c r="AC108" s="444"/>
      <c r="AD108" s="444"/>
      <c r="AE108" s="444"/>
      <c r="AF108" s="444"/>
      <c r="AG108" s="444"/>
      <c r="AH108" s="444"/>
      <c r="AI108" s="444"/>
      <c r="AJ108" s="444"/>
      <c r="AK108" s="444"/>
      <c r="AL108" s="444"/>
      <c r="AM108" s="444"/>
      <c r="AN108" s="444"/>
      <c r="AO108" s="444"/>
      <c r="AP108" s="444"/>
      <c r="AQ108" s="444"/>
      <c r="AR108" s="444"/>
      <c r="AS108" s="444"/>
      <c r="AT108" s="444"/>
      <c r="AU108" s="444"/>
      <c r="AV108" s="444"/>
      <c r="AW108" s="444"/>
      <c r="AX108" s="444"/>
    </row>
    <row r="109" spans="1:50" x14ac:dyDescent="0.25">
      <c r="B109">
        <f>IF(G80=150,D107,B107)</f>
        <v>0</v>
      </c>
      <c r="T109" s="444"/>
      <c r="U109" s="444"/>
      <c r="V109" s="444"/>
      <c r="W109" s="444"/>
      <c r="X109" s="444"/>
      <c r="Y109" s="444"/>
      <c r="Z109" s="444"/>
      <c r="AA109" s="444"/>
      <c r="AB109" s="444"/>
      <c r="AC109" s="444"/>
      <c r="AD109" s="444"/>
      <c r="AE109" s="444"/>
      <c r="AF109" s="444"/>
      <c r="AG109" s="444"/>
      <c r="AH109" s="444"/>
      <c r="AI109" s="444"/>
      <c r="AJ109" s="444"/>
      <c r="AK109" s="444"/>
      <c r="AL109" s="444"/>
      <c r="AM109" s="444"/>
      <c r="AN109" s="444"/>
      <c r="AO109" s="444"/>
      <c r="AP109" s="444"/>
      <c r="AQ109" s="444"/>
      <c r="AR109" s="444"/>
      <c r="AS109" s="444"/>
      <c r="AT109" s="444"/>
      <c r="AU109" s="444"/>
      <c r="AV109" s="444"/>
      <c r="AW109" s="444"/>
      <c r="AX109" s="444"/>
    </row>
  </sheetData>
  <sheetProtection algorithmName="SHA-512" hashValue="VqzpAGbzKmIPKeZvFoKaFP7mqrTZFtcyDlJ2DkVpxyRlLLIYBX1xFDP/GvIido0KQeY/O5oXZY/k+p0p2VkWVg==" saltValue="bTIF/tFmAR6clkdYfbtHCQ==" spinCount="100000" sheet="1" objects="1" scenarios="1"/>
  <mergeCells count="9">
    <mergeCell ref="C62:R62"/>
    <mergeCell ref="M70:N70"/>
    <mergeCell ref="E75:O76"/>
    <mergeCell ref="K49:M49"/>
    <mergeCell ref="K37:M37"/>
    <mergeCell ref="K44:M44"/>
    <mergeCell ref="G49:I49"/>
    <mergeCell ref="G39:I39"/>
    <mergeCell ref="P44:R44"/>
  </mergeCells>
  <dataValidations disablePrompts="1" count="8">
    <dataValidation type="list" allowBlank="1" showInputMessage="1" showErrorMessage="1" sqref="M64">
      <formula1>$I$84:$I$86</formula1>
    </dataValidation>
    <dataValidation type="list" allowBlank="1" showInputMessage="1" showErrorMessage="1" sqref="G68">
      <formula1>$A$85:$A$91</formula1>
    </dataValidation>
    <dataValidation type="list" allowBlank="1" showInputMessage="1" showErrorMessage="1" sqref="G66">
      <formula1>$A$81:$A$82</formula1>
    </dataValidation>
    <dataValidation type="list" allowBlank="1" showInputMessage="1" showErrorMessage="1" sqref="G49">
      <formula1>$U$47:$U$49</formula1>
    </dataValidation>
    <dataValidation type="list" allowBlank="1" showInputMessage="1" showErrorMessage="1" sqref="P44 M70">
      <formula1>$U$34:$U$35</formula1>
    </dataValidation>
    <dataValidation type="list" allowBlank="1" showInputMessage="1" showErrorMessage="1" sqref="K44">
      <formula1>$AF$1:$AF$2</formula1>
    </dataValidation>
    <dataValidation type="list" allowBlank="1" showInputMessage="1" showErrorMessage="1" sqref="K37">
      <formula1>$U$50:$U$52</formula1>
    </dataValidation>
    <dataValidation type="list" allowBlank="1" showInputMessage="1" showErrorMessage="1" sqref="G39">
      <formula1>$U$44:$U$45</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H80"/>
  <sheetViews>
    <sheetView workbookViewId="0">
      <selection activeCell="L14" sqref="L14"/>
    </sheetView>
  </sheetViews>
  <sheetFormatPr defaultRowHeight="15" x14ac:dyDescent="0.25"/>
  <cols>
    <col min="23" max="23" width="12" bestFit="1" customWidth="1"/>
    <col min="25" max="25" width="12" bestFit="1" customWidth="1"/>
    <col min="27" max="27" width="12" bestFit="1" customWidth="1"/>
    <col min="28" max="28" width="16.85546875" bestFit="1" customWidth="1"/>
    <col min="29" max="29" width="12" bestFit="1" customWidth="1"/>
    <col min="30" max="30" width="10" bestFit="1" customWidth="1"/>
  </cols>
  <sheetData>
    <row r="1" spans="2:34" x14ac:dyDescent="0.25">
      <c r="T1" s="444"/>
      <c r="U1" s="444"/>
      <c r="V1" s="444" t="s">
        <v>24</v>
      </c>
      <c r="W1" s="444">
        <f>F33*1000</f>
        <v>0</v>
      </c>
      <c r="X1" s="444"/>
      <c r="Y1" s="444" t="s">
        <v>318</v>
      </c>
      <c r="Z1" s="444">
        <f>M35*PI()/180</f>
        <v>1.5707963267948966</v>
      </c>
      <c r="AA1" s="444"/>
      <c r="AB1" s="444"/>
      <c r="AC1" s="444" t="s">
        <v>329</v>
      </c>
      <c r="AD1" s="444" t="s">
        <v>330</v>
      </c>
      <c r="AE1" s="444"/>
      <c r="AF1" s="444"/>
      <c r="AG1" s="444"/>
      <c r="AH1" s="444"/>
    </row>
    <row r="2" spans="2:34" x14ac:dyDescent="0.25">
      <c r="B2" s="2"/>
      <c r="C2" s="3"/>
      <c r="D2" s="3"/>
      <c r="E2" s="3"/>
      <c r="F2" s="3"/>
      <c r="G2" s="3"/>
      <c r="H2" s="3"/>
      <c r="I2" s="3"/>
      <c r="J2" s="3"/>
      <c r="K2" s="3"/>
      <c r="L2" s="3"/>
      <c r="M2" s="3"/>
      <c r="N2" s="3"/>
      <c r="O2" s="3"/>
      <c r="P2" s="3"/>
      <c r="Q2" s="3"/>
      <c r="R2" s="3"/>
      <c r="S2" s="4"/>
      <c r="T2" s="444"/>
      <c r="U2" s="444"/>
      <c r="V2" s="444" t="s">
        <v>3</v>
      </c>
      <c r="W2" s="444">
        <f>O37*1000</f>
        <v>0</v>
      </c>
      <c r="X2" s="444"/>
      <c r="Y2" s="444"/>
      <c r="Z2" s="444"/>
      <c r="AA2" s="444"/>
      <c r="AB2" s="444" t="s">
        <v>328</v>
      </c>
      <c r="AC2" s="444">
        <v>2.06</v>
      </c>
      <c r="AD2" s="444">
        <v>4.54</v>
      </c>
      <c r="AE2" s="444"/>
      <c r="AF2" s="444"/>
      <c r="AG2" s="444"/>
      <c r="AH2" s="444"/>
    </row>
    <row r="3" spans="2:34" x14ac:dyDescent="0.25">
      <c r="B3" s="5"/>
      <c r="C3" s="6"/>
      <c r="D3" s="6"/>
      <c r="E3" s="6"/>
      <c r="F3" s="6"/>
      <c r="G3" s="6"/>
      <c r="H3" s="6"/>
      <c r="I3" s="6"/>
      <c r="J3" s="6"/>
      <c r="K3" s="6"/>
      <c r="L3" s="6"/>
      <c r="M3" s="6"/>
      <c r="N3" s="6"/>
      <c r="O3" s="6"/>
      <c r="P3" s="6"/>
      <c r="Q3" s="6"/>
      <c r="R3" s="6"/>
      <c r="S3" s="375"/>
      <c r="T3" s="444"/>
      <c r="U3" s="444"/>
      <c r="V3" s="444" t="s">
        <v>0</v>
      </c>
      <c r="W3" s="444">
        <f>F37/1000</f>
        <v>0</v>
      </c>
      <c r="X3" s="444"/>
      <c r="Y3" s="444"/>
      <c r="Z3" s="444"/>
      <c r="AA3" s="444"/>
      <c r="AB3" s="444" t="s">
        <v>349</v>
      </c>
      <c r="AC3" s="444">
        <v>29.46</v>
      </c>
      <c r="AD3" s="444">
        <v>18.64</v>
      </c>
      <c r="AE3" s="444"/>
      <c r="AF3" s="444"/>
      <c r="AG3" s="444"/>
      <c r="AH3" s="444"/>
    </row>
    <row r="4" spans="2:34" x14ac:dyDescent="0.25">
      <c r="B4" s="5"/>
      <c r="C4" s="6"/>
      <c r="D4" s="6"/>
      <c r="E4" s="6"/>
      <c r="F4" s="6"/>
      <c r="G4" s="6"/>
      <c r="H4" s="6"/>
      <c r="I4" s="6"/>
      <c r="J4" s="6"/>
      <c r="K4" s="6"/>
      <c r="L4" s="6"/>
      <c r="M4" s="6"/>
      <c r="N4" s="6"/>
      <c r="O4" s="6"/>
      <c r="P4" s="6"/>
      <c r="Q4" s="6"/>
      <c r="R4" s="6"/>
      <c r="S4" s="28"/>
      <c r="T4" s="444"/>
      <c r="U4" s="444"/>
      <c r="V4" s="444" t="s">
        <v>1</v>
      </c>
      <c r="W4" s="444">
        <f>F39/1000</f>
        <v>0</v>
      </c>
      <c r="X4" s="444"/>
      <c r="Y4" s="444"/>
      <c r="Z4" s="444"/>
      <c r="AA4" s="444"/>
      <c r="AB4" s="444" t="s">
        <v>371</v>
      </c>
      <c r="AC4" s="444">
        <v>71.52</v>
      </c>
      <c r="AD4" s="444">
        <v>21.85</v>
      </c>
      <c r="AE4" s="444"/>
      <c r="AF4" s="444"/>
      <c r="AG4" s="444"/>
      <c r="AH4" s="444"/>
    </row>
    <row r="5" spans="2:34" x14ac:dyDescent="0.25">
      <c r="B5" s="5"/>
      <c r="C5" s="6"/>
      <c r="D5" s="6"/>
      <c r="E5" s="6"/>
      <c r="F5" s="6"/>
      <c r="G5" s="6"/>
      <c r="H5" s="6"/>
      <c r="I5" s="6"/>
      <c r="J5" s="6"/>
      <c r="K5" s="237"/>
      <c r="L5" s="6"/>
      <c r="M5" s="6"/>
      <c r="N5" s="6"/>
      <c r="O5" s="6"/>
      <c r="P5" s="6"/>
      <c r="Q5" s="6"/>
      <c r="R5" s="6"/>
      <c r="S5" s="28"/>
      <c r="T5" s="444"/>
      <c r="U5" s="444"/>
      <c r="V5" s="444" t="s">
        <v>2</v>
      </c>
      <c r="W5" s="444">
        <f>F41/1000</f>
        <v>0</v>
      </c>
      <c r="X5" s="444"/>
      <c r="Y5" s="444"/>
      <c r="Z5" s="444"/>
      <c r="AA5" s="444"/>
      <c r="AB5" s="444" t="s">
        <v>350</v>
      </c>
      <c r="AC5" s="444">
        <v>82.2</v>
      </c>
      <c r="AD5" s="444">
        <v>26.74</v>
      </c>
      <c r="AE5" s="444"/>
      <c r="AF5" s="444"/>
      <c r="AG5" s="444"/>
      <c r="AH5" s="444"/>
    </row>
    <row r="6" spans="2:34" x14ac:dyDescent="0.25">
      <c r="B6" s="5"/>
      <c r="C6" s="6"/>
      <c r="D6" s="6"/>
      <c r="E6" s="6"/>
      <c r="F6" s="6"/>
      <c r="G6" s="6"/>
      <c r="H6" s="6"/>
      <c r="I6" s="6"/>
      <c r="J6" s="6"/>
      <c r="K6" s="6"/>
      <c r="L6" s="6"/>
      <c r="M6" s="6"/>
      <c r="N6" s="6"/>
      <c r="O6" s="6"/>
      <c r="P6" s="6"/>
      <c r="Q6" s="6"/>
      <c r="R6" s="6"/>
      <c r="S6" s="28"/>
      <c r="T6" s="444"/>
      <c r="U6" s="444"/>
      <c r="V6" s="444" t="s">
        <v>213</v>
      </c>
      <c r="W6" s="444">
        <f>F43/1000</f>
        <v>0.1</v>
      </c>
      <c r="X6" s="444"/>
      <c r="Y6" s="444"/>
      <c r="Z6" s="444"/>
      <c r="AA6" s="444"/>
      <c r="AB6" s="444" t="s">
        <v>372</v>
      </c>
      <c r="AC6" s="444">
        <v>135.59</v>
      </c>
      <c r="AD6" s="444">
        <v>26.72</v>
      </c>
      <c r="AE6" s="444"/>
      <c r="AF6" s="444"/>
      <c r="AG6" s="444"/>
      <c r="AH6" s="444"/>
    </row>
    <row r="7" spans="2:34" x14ac:dyDescent="0.25">
      <c r="B7" s="5"/>
      <c r="C7" s="6"/>
      <c r="D7" s="6"/>
      <c r="E7" s="6"/>
      <c r="F7" s="6"/>
      <c r="G7" s="6"/>
      <c r="H7" s="6"/>
      <c r="I7" s="6"/>
      <c r="J7" s="6"/>
      <c r="K7" s="6"/>
      <c r="L7" s="6"/>
      <c r="M7" s="6"/>
      <c r="N7" s="6"/>
      <c r="O7" s="6"/>
      <c r="P7" s="6"/>
      <c r="Q7" s="6"/>
      <c r="R7" s="6"/>
      <c r="S7" s="28"/>
      <c r="T7" s="444"/>
      <c r="U7" s="444"/>
      <c r="V7" s="444" t="s">
        <v>307</v>
      </c>
      <c r="W7" s="444">
        <v>70000000000</v>
      </c>
      <c r="X7" s="444"/>
      <c r="Y7" s="444"/>
      <c r="Z7" s="444"/>
      <c r="AA7" s="444"/>
      <c r="AB7" s="444" t="s">
        <v>351</v>
      </c>
      <c r="AC7" s="444">
        <v>158.25</v>
      </c>
      <c r="AD7" s="444">
        <v>36.159999999999997</v>
      </c>
      <c r="AE7" s="444"/>
      <c r="AF7" s="444"/>
      <c r="AG7" s="444"/>
      <c r="AH7" s="444"/>
    </row>
    <row r="8" spans="2:34" x14ac:dyDescent="0.25">
      <c r="B8" s="5"/>
      <c r="C8" s="6"/>
      <c r="D8" s="6"/>
      <c r="E8" s="6"/>
      <c r="F8" s="6"/>
      <c r="G8" s="6"/>
      <c r="H8" s="6"/>
      <c r="I8" s="6"/>
      <c r="J8" s="6"/>
      <c r="K8" s="6"/>
      <c r="L8" s="6"/>
      <c r="M8" s="6"/>
      <c r="N8" s="6"/>
      <c r="O8" s="6"/>
      <c r="P8" s="6"/>
      <c r="Q8" s="6"/>
      <c r="R8" s="6"/>
      <c r="S8" s="28"/>
      <c r="T8" s="444"/>
      <c r="U8" s="444"/>
      <c r="V8" s="444" t="s">
        <v>310</v>
      </c>
      <c r="W8" s="444">
        <f>IF(W5/175&lt;0.015,W5/175,0.015)</f>
        <v>0</v>
      </c>
      <c r="X8" s="444"/>
      <c r="Y8" s="444"/>
      <c r="Z8" s="444"/>
      <c r="AA8" s="444"/>
      <c r="AB8" s="444" t="s">
        <v>373</v>
      </c>
      <c r="AC8" s="444">
        <v>231.53</v>
      </c>
      <c r="AD8" s="444">
        <v>33.82</v>
      </c>
      <c r="AE8" s="444"/>
      <c r="AF8" s="444"/>
      <c r="AG8" s="444"/>
      <c r="AH8" s="444"/>
    </row>
    <row r="9" spans="2:34" x14ac:dyDescent="0.25">
      <c r="B9" s="5"/>
      <c r="C9" s="6"/>
      <c r="D9" s="6"/>
      <c r="E9" s="6"/>
      <c r="F9" s="6"/>
      <c r="G9" s="6"/>
      <c r="H9" s="6"/>
      <c r="I9" s="6"/>
      <c r="J9" s="6"/>
      <c r="K9" s="6"/>
      <c r="L9" s="6"/>
      <c r="M9" s="6"/>
      <c r="N9" s="6"/>
      <c r="O9" s="6"/>
      <c r="P9" s="6"/>
      <c r="Q9" s="6"/>
      <c r="R9" s="6"/>
      <c r="S9" s="28"/>
      <c r="T9" s="444"/>
      <c r="U9" s="444"/>
      <c r="V9" s="444" t="s">
        <v>309</v>
      </c>
      <c r="W9" s="444">
        <v>3.0000000000000001E-3</v>
      </c>
      <c r="X9" s="444"/>
      <c r="Y9" s="444"/>
      <c r="Z9" s="444"/>
      <c r="AA9" s="444"/>
      <c r="AB9" s="444" t="s">
        <v>352</v>
      </c>
      <c r="AC9" s="444">
        <v>261.68</v>
      </c>
      <c r="AD9" s="444">
        <v>41.14</v>
      </c>
      <c r="AE9" s="444"/>
      <c r="AF9" s="444"/>
      <c r="AG9" s="444"/>
      <c r="AH9" s="444"/>
    </row>
    <row r="10" spans="2:34" x14ac:dyDescent="0.25">
      <c r="B10" s="5"/>
      <c r="C10" s="6"/>
      <c r="D10" s="6"/>
      <c r="E10" s="6"/>
      <c r="F10" s="6"/>
      <c r="G10" s="6"/>
      <c r="H10" s="6"/>
      <c r="I10" s="6"/>
      <c r="J10" s="6"/>
      <c r="K10" s="6"/>
      <c r="L10" s="6"/>
      <c r="M10" s="6"/>
      <c r="N10" s="31"/>
      <c r="O10" s="6"/>
      <c r="P10" s="6"/>
      <c r="Q10" s="6"/>
      <c r="R10" s="6"/>
      <c r="S10" s="28"/>
      <c r="T10" s="444"/>
      <c r="U10" s="444"/>
      <c r="V10" s="444" t="s">
        <v>6</v>
      </c>
      <c r="W10" s="444">
        <f>IF(W5&gt;W3,W3/2,W5/2)</f>
        <v>0</v>
      </c>
      <c r="X10" s="444"/>
      <c r="Y10" s="444"/>
      <c r="Z10" s="444"/>
      <c r="AA10" s="444"/>
      <c r="AB10" s="444" t="s">
        <v>374</v>
      </c>
      <c r="AC10" s="444">
        <v>364.98</v>
      </c>
      <c r="AD10" s="444">
        <v>41.96</v>
      </c>
      <c r="AE10" s="444"/>
      <c r="AF10" s="444"/>
      <c r="AG10" s="444"/>
      <c r="AH10" s="444"/>
    </row>
    <row r="11" spans="2:34" x14ac:dyDescent="0.25">
      <c r="B11" s="5"/>
      <c r="C11" s="372" t="s">
        <v>50</v>
      </c>
      <c r="D11" s="564">
        <f>'Navigation Page'!D16:G16</f>
        <v>0</v>
      </c>
      <c r="E11" s="526"/>
      <c r="F11" s="571"/>
      <c r="G11" s="565" t="s">
        <v>81</v>
      </c>
      <c r="H11" s="566"/>
      <c r="I11" s="564">
        <f>'Navigation Page'!I16</f>
        <v>0</v>
      </c>
      <c r="J11" s="571"/>
      <c r="K11" s="372" t="s">
        <v>52</v>
      </c>
      <c r="L11" s="564">
        <f>'Navigation Page'!K16:M16</f>
        <v>0</v>
      </c>
      <c r="M11" s="567"/>
      <c r="N11" s="567"/>
      <c r="O11" s="565" t="s">
        <v>53</v>
      </c>
      <c r="P11" s="566"/>
      <c r="Q11" s="609">
        <f>'Navigation Page'!O16</f>
        <v>0</v>
      </c>
      <c r="R11" s="566"/>
      <c r="S11" s="28"/>
      <c r="T11" s="444"/>
      <c r="U11" s="444"/>
      <c r="V11" s="444" t="s">
        <v>7</v>
      </c>
      <c r="W11" s="444">
        <f>IF(W5&gt;W4,W4/2,W5/2)</f>
        <v>0</v>
      </c>
      <c r="X11" s="444"/>
      <c r="Y11" s="444"/>
      <c r="Z11" s="444"/>
      <c r="AA11" s="444"/>
      <c r="AB11" s="444" t="s">
        <v>353</v>
      </c>
      <c r="AC11" s="444">
        <v>398.84</v>
      </c>
      <c r="AD11" s="444">
        <v>48.19</v>
      </c>
      <c r="AE11" s="444"/>
      <c r="AF11" s="444"/>
      <c r="AG11" s="444"/>
      <c r="AH11" s="444"/>
    </row>
    <row r="12" spans="2:34" x14ac:dyDescent="0.25">
      <c r="B12" s="5"/>
      <c r="C12" s="373" t="s">
        <v>54</v>
      </c>
      <c r="D12" s="564">
        <f>'Navigation Page'!D17:G17</f>
        <v>0</v>
      </c>
      <c r="E12" s="526"/>
      <c r="F12" s="571"/>
      <c r="G12" s="568" t="s">
        <v>55</v>
      </c>
      <c r="H12" s="569"/>
      <c r="I12" s="525">
        <f ca="1">'Navigation Page'!I17</f>
        <v>42251</v>
      </c>
      <c r="J12" s="571"/>
      <c r="K12" s="376" t="s">
        <v>56</v>
      </c>
      <c r="L12" s="273">
        <f>'Navigation Page'!K17</f>
        <v>0</v>
      </c>
      <c r="M12" s="377" t="s">
        <v>57</v>
      </c>
      <c r="N12" s="370">
        <f>'Navigation Page'!M17</f>
        <v>0</v>
      </c>
      <c r="O12" s="568" t="s">
        <v>58</v>
      </c>
      <c r="P12" s="569"/>
      <c r="Q12" s="526">
        <v>7</v>
      </c>
      <c r="R12" s="571"/>
      <c r="S12" s="28"/>
      <c r="T12" s="444"/>
      <c r="U12" s="444"/>
      <c r="V12" s="444" t="s">
        <v>311</v>
      </c>
      <c r="W12" s="444"/>
      <c r="X12" s="444"/>
      <c r="Y12" s="444"/>
      <c r="Z12" s="444"/>
      <c r="AA12" s="444"/>
      <c r="AB12" s="444" t="s">
        <v>355</v>
      </c>
      <c r="AC12" s="444">
        <v>571.48</v>
      </c>
      <c r="AD12" s="444">
        <v>55.82</v>
      </c>
      <c r="AE12" s="444"/>
      <c r="AF12" s="444"/>
      <c r="AG12" s="444"/>
      <c r="AH12" s="444"/>
    </row>
    <row r="13" spans="2:34" x14ac:dyDescent="0.25">
      <c r="B13" s="5"/>
      <c r="C13" s="6"/>
      <c r="D13" s="6"/>
      <c r="E13" s="6"/>
      <c r="F13" s="6"/>
      <c r="G13" s="6"/>
      <c r="H13" s="6"/>
      <c r="I13" s="6"/>
      <c r="J13" s="6"/>
      <c r="K13" s="6"/>
      <c r="L13" s="6"/>
      <c r="M13" s="6"/>
      <c r="N13" s="31"/>
      <c r="O13" s="6"/>
      <c r="P13" s="6"/>
      <c r="Q13" s="6"/>
      <c r="R13" s="6"/>
      <c r="S13" s="28"/>
      <c r="T13" s="444"/>
      <c r="U13" s="444"/>
      <c r="V13" s="444" t="s">
        <v>312</v>
      </c>
      <c r="W13" s="444">
        <f>IF(W5&gt;W3,W3*W2/2,W5*W2/2)</f>
        <v>0</v>
      </c>
      <c r="X13" s="444" t="s">
        <v>315</v>
      </c>
      <c r="Y13" s="444">
        <f>IF(W5&gt;W4,W4*W2/2,W5*W2/2)</f>
        <v>0</v>
      </c>
      <c r="Z13" s="444" t="s">
        <v>333</v>
      </c>
      <c r="AA13" s="444">
        <f>ABS(30*COS(Z1))</f>
        <v>1.83772268236293E-15</v>
      </c>
      <c r="AB13" s="444" t="s">
        <v>354</v>
      </c>
      <c r="AC13" s="444">
        <v>906.26</v>
      </c>
      <c r="AD13" s="444">
        <v>76.44</v>
      </c>
      <c r="AE13" s="444"/>
      <c r="AF13" s="444"/>
      <c r="AG13" s="444"/>
      <c r="AH13" s="444"/>
    </row>
    <row r="14" spans="2:34" ht="18.75" x14ac:dyDescent="0.3">
      <c r="B14" s="5"/>
      <c r="C14" s="244" t="s">
        <v>295</v>
      </c>
      <c r="D14" s="6"/>
      <c r="E14" s="6"/>
      <c r="F14" s="6"/>
      <c r="G14" s="6"/>
      <c r="H14" s="6"/>
      <c r="I14" s="6"/>
      <c r="J14" s="6"/>
      <c r="K14" s="6"/>
      <c r="L14" s="6"/>
      <c r="M14" s="6"/>
      <c r="N14" s="31"/>
      <c r="O14" s="6"/>
      <c r="P14" s="6"/>
      <c r="Q14" s="6"/>
      <c r="R14" s="6"/>
      <c r="S14" s="28"/>
      <c r="T14" s="444"/>
      <c r="U14" s="444"/>
      <c r="V14" s="444" t="s">
        <v>313</v>
      </c>
      <c r="W14" s="444">
        <f>ABS(IF(W5&gt;W3,W3*W1/2,W5*W1/2)*COS(Z1))</f>
        <v>0</v>
      </c>
      <c r="X14" s="444" t="s">
        <v>316</v>
      </c>
      <c r="Y14" s="444">
        <f>ABS(IF(W5&gt;W4,W4*W1/2,W5*W1/2)*COS(Z1))</f>
        <v>0</v>
      </c>
      <c r="Z14" s="444"/>
      <c r="AA14" s="444"/>
      <c r="AB14" s="444"/>
      <c r="AC14" s="444"/>
      <c r="AD14" s="444"/>
      <c r="AE14" s="444"/>
      <c r="AF14" s="444"/>
      <c r="AG14" s="444"/>
      <c r="AH14" s="444"/>
    </row>
    <row r="15" spans="2:34" x14ac:dyDescent="0.25">
      <c r="B15" s="5"/>
      <c r="C15" s="6"/>
      <c r="D15" s="6"/>
      <c r="E15" s="6"/>
      <c r="F15" s="6"/>
      <c r="G15" s="6"/>
      <c r="H15" s="6"/>
      <c r="I15" s="6"/>
      <c r="J15" s="6"/>
      <c r="K15" s="6"/>
      <c r="L15" s="6"/>
      <c r="M15" s="6"/>
      <c r="N15" s="31"/>
      <c r="O15" s="6"/>
      <c r="P15" s="6"/>
      <c r="Q15" s="6"/>
      <c r="R15" s="6"/>
      <c r="S15" s="28"/>
      <c r="T15" s="444"/>
      <c r="U15" s="444"/>
      <c r="V15" s="444" t="s">
        <v>314</v>
      </c>
      <c r="W15" s="444">
        <f>IF(M35&gt;60,0,ABS(IF(W5&gt;W3,W3*750/2,W5*750/2)*COS(Z1)))</f>
        <v>0</v>
      </c>
      <c r="X15" s="444" t="s">
        <v>317</v>
      </c>
      <c r="Y15" s="444">
        <f>IF(M35&gt;60,0,ABS(IF(W5&gt;W4,W4*750/2,W5*750/2)*COS(Z1)))</f>
        <v>0</v>
      </c>
      <c r="Z15" s="444"/>
      <c r="AA15" s="444"/>
      <c r="AB15" s="444" t="e">
        <f>IF(AND(AC2&gt;W19,AD2&gt;W26),AB2,IF(AND(AC3&gt;W19,AD3&gt;W26),AB3,IF(AND(AC4&gt;W19,AD4&gt;W26),AB4,IF(AND(AC5&gt;W19,AD5&gt;W26),AB5,IF(AND(AC6&gt;W19,AD6&gt;W26),AB6,IF(AND(AC7&gt;W19,AD7&gt;W26),AB7,IF(AND(AC8&gt;W19,AD8&gt;W26),AB8,IF(AND(AC9&gt;W19,AD9&gt;W26),AB9,IF(AND(AC10&gt;W19,AD10&gt;W26),AB10,IF(AND(AC11&gt;W19,AD11&gt;W26),AB11,IF(AND(AC12&gt;W19,AD12&gt;W26),AB12,IF(AND(AC13&gt;W19,AD13&gt;W26),AB13,"NA"))))))))))))</f>
        <v>#DIV/0!</v>
      </c>
      <c r="AC15" s="444" t="e">
        <f>IF(AND(AC2&gt;W19,AD2&gt;W26),AC2,IF(AND(AC3&gt;W19,AD3&gt;W26),AC3,IF(AND(AC4&gt;W19,AD4&gt;W26),AC4,IF(AND(AC5&gt;W19,AD5&gt;W26),AC5,IF(AND(AC6&gt;W19,AD6&gt;W26),AC6,IF(AND(AC7&gt;W19,AD7&gt;W26),AC7,IF(AND(AC8&gt;W19,AD8&gt;W26),AC8,IF(AND(AC9&gt;W19,AD9&gt;W26),AC9,IF(AND(AC10&gt;W19,AD10&gt;W26),AC10,IF(AND(AC11&gt;W19,AD11&gt;W26),AC11,IF(AND(AC12&gt;W19,AD12&gt;W26),AC12,IF(AND(AC13&gt;W19,AD13&gt;W26),AC13,"NA"))))))))))))</f>
        <v>#DIV/0!</v>
      </c>
      <c r="AD15" s="444" t="e">
        <f>IF(AND(AC2&gt;W19,AD2&gt;W26),AD2,IF(AND(AC3&gt;W19,AD3&gt;W26),AD3,IF(AND(AC4&gt;W19,AD4&gt;W26),AD4,IF(AND(AC5&gt;W19,AD5&gt;W26),AD5,IF(AND(AC6&gt;W19,AD6&gt;W26),AD6,IF(AND(AC7&gt;W19,AD7&gt;W26),AD7,IF(AND(AC8&gt;W19,AD8&gt;W26),AD8,IF(AND(AC9&gt;W19,AD9&gt;W26),AD9,IF(AND(AC10&gt;W19,AD10&gt;W26),AD10,IF(AND(AC11&gt;W19,AD11&gt;W26),AD11,IF(AND(AC12&gt;W19,AD12&gt;W26),AD12,IF(AND(AC13&gt;W19,AD13&gt;W26),AD13,"NA"))))))))))))</f>
        <v>#DIV/0!</v>
      </c>
      <c r="AE15" s="444"/>
      <c r="AF15" s="444"/>
      <c r="AG15" s="444"/>
      <c r="AH15" s="444"/>
    </row>
    <row r="16" spans="2:34" x14ac:dyDescent="0.25">
      <c r="B16" s="5"/>
      <c r="C16" s="6"/>
      <c r="D16" s="6"/>
      <c r="E16" s="6"/>
      <c r="F16" s="6"/>
      <c r="G16" s="6"/>
      <c r="H16" s="6"/>
      <c r="I16" s="6"/>
      <c r="J16" s="6"/>
      <c r="K16" s="6"/>
      <c r="L16" s="6"/>
      <c r="M16" s="6"/>
      <c r="N16" s="31"/>
      <c r="O16" s="6"/>
      <c r="P16" s="29"/>
      <c r="Q16" s="6"/>
      <c r="R16" s="6"/>
      <c r="S16" s="28"/>
      <c r="T16" s="444"/>
      <c r="U16" s="444"/>
      <c r="V16" s="444" t="s">
        <v>319</v>
      </c>
      <c r="W16" s="444">
        <f>W13+W14+W15</f>
        <v>0</v>
      </c>
      <c r="X16" s="444" t="s">
        <v>320</v>
      </c>
      <c r="Y16" s="444">
        <f>Y13+Y14+Y15</f>
        <v>0</v>
      </c>
      <c r="Z16" s="444"/>
      <c r="AA16" s="444"/>
      <c r="AB16" s="444"/>
      <c r="AC16" s="444" t="e">
        <f>AC15/100000000</f>
        <v>#DIV/0!</v>
      </c>
      <c r="AD16" s="444" t="e">
        <f>AD15/100000000</f>
        <v>#DIV/0!</v>
      </c>
      <c r="AE16" s="444"/>
      <c r="AF16" s="444"/>
      <c r="AG16" s="444"/>
      <c r="AH16" s="444"/>
    </row>
    <row r="17" spans="2:34" x14ac:dyDescent="0.25">
      <c r="B17" s="5"/>
      <c r="C17" s="6"/>
      <c r="D17" s="6"/>
      <c r="E17" s="6"/>
      <c r="F17" s="6"/>
      <c r="G17" s="6"/>
      <c r="H17" s="6"/>
      <c r="I17" s="6"/>
      <c r="J17" s="6"/>
      <c r="K17" s="6"/>
      <c r="L17" s="6"/>
      <c r="M17" s="6"/>
      <c r="N17" s="537"/>
      <c r="O17" s="537"/>
      <c r="P17" s="537"/>
      <c r="Q17" s="537"/>
      <c r="R17" s="537"/>
      <c r="S17" s="28"/>
      <c r="T17" s="444"/>
      <c r="U17" s="444"/>
      <c r="V17" s="444" t="s">
        <v>321</v>
      </c>
      <c r="W17" s="444" t="e">
        <f>W16*(5*W5^2-4*W10^2)^2/(1920*W7*W8)</f>
        <v>#DIV/0!</v>
      </c>
      <c r="X17" s="444" t="s">
        <v>322</v>
      </c>
      <c r="Y17" s="444" t="e">
        <f>Y16*(5*W5^2-4*W11^2)^2/(1920*W7*W8)</f>
        <v>#DIV/0!</v>
      </c>
      <c r="Z17" s="444" t="s">
        <v>334</v>
      </c>
      <c r="AA17" s="444" t="e">
        <f>5*AA13*W5^4/(384*W7*W8)</f>
        <v>#DIV/0!</v>
      </c>
      <c r="AB17" s="444"/>
      <c r="AC17" s="444"/>
      <c r="AD17" s="444"/>
      <c r="AE17" s="444"/>
      <c r="AF17" s="444"/>
      <c r="AG17" s="444"/>
      <c r="AH17" s="444"/>
    </row>
    <row r="18" spans="2:34" x14ac:dyDescent="0.25">
      <c r="B18" s="5"/>
      <c r="C18" s="6"/>
      <c r="D18" s="6"/>
      <c r="E18" s="6"/>
      <c r="F18" s="6"/>
      <c r="G18" s="6"/>
      <c r="H18" s="6"/>
      <c r="I18" s="6"/>
      <c r="J18" s="6"/>
      <c r="K18" s="6"/>
      <c r="L18" s="6"/>
      <c r="M18" s="6"/>
      <c r="N18" s="538"/>
      <c r="O18" s="538"/>
      <c r="P18" s="538"/>
      <c r="Q18" s="538"/>
      <c r="R18" s="538"/>
      <c r="S18" s="28"/>
      <c r="T18" s="444"/>
      <c r="U18" s="444"/>
      <c r="V18" s="444" t="s">
        <v>323</v>
      </c>
      <c r="W18" s="444" t="e">
        <f>W17+Y17+AA17</f>
        <v>#DIV/0!</v>
      </c>
      <c r="X18" s="444" t="s">
        <v>15</v>
      </c>
      <c r="Y18" s="444"/>
      <c r="Z18" s="444"/>
      <c r="AA18" s="444"/>
      <c r="AB18" s="444"/>
      <c r="AC18" s="444"/>
      <c r="AD18" s="444"/>
      <c r="AE18" s="444"/>
      <c r="AF18" s="444"/>
      <c r="AG18" s="444"/>
      <c r="AH18" s="444"/>
    </row>
    <row r="19" spans="2:34" x14ac:dyDescent="0.25">
      <c r="B19" s="5"/>
      <c r="C19" s="6"/>
      <c r="D19" s="6"/>
      <c r="E19" s="6"/>
      <c r="F19" s="6"/>
      <c r="G19" s="6"/>
      <c r="H19" s="6"/>
      <c r="I19" s="6"/>
      <c r="J19" s="6"/>
      <c r="K19" s="6"/>
      <c r="L19" s="6"/>
      <c r="M19" s="6"/>
      <c r="N19" s="537"/>
      <c r="O19" s="537"/>
      <c r="P19" s="537"/>
      <c r="Q19" s="537"/>
      <c r="R19" s="537"/>
      <c r="S19" s="28"/>
      <c r="T19" s="444"/>
      <c r="U19" s="444"/>
      <c r="V19" s="444" t="s">
        <v>323</v>
      </c>
      <c r="W19" s="444" t="e">
        <f>W18*100000000</f>
        <v>#DIV/0!</v>
      </c>
      <c r="X19" s="444" t="s">
        <v>16</v>
      </c>
      <c r="Y19" s="444"/>
      <c r="Z19" s="444"/>
      <c r="AA19" s="444"/>
      <c r="AB19" s="444"/>
      <c r="AC19" s="444"/>
      <c r="AD19" s="444"/>
      <c r="AE19" s="444"/>
      <c r="AF19" s="444"/>
      <c r="AG19" s="444"/>
      <c r="AH19" s="444"/>
    </row>
    <row r="20" spans="2:34" x14ac:dyDescent="0.25">
      <c r="B20" s="5"/>
      <c r="C20" s="6"/>
      <c r="D20" s="6"/>
      <c r="E20" s="6"/>
      <c r="F20" s="6"/>
      <c r="G20" s="6"/>
      <c r="H20" s="6"/>
      <c r="I20" s="6"/>
      <c r="J20" s="6"/>
      <c r="K20" s="6"/>
      <c r="L20" s="6"/>
      <c r="M20" s="6"/>
      <c r="N20" s="537"/>
      <c r="O20" s="537"/>
      <c r="P20" s="537"/>
      <c r="Q20" s="537"/>
      <c r="R20" s="537"/>
      <c r="S20" s="28"/>
      <c r="T20" s="444"/>
      <c r="U20" s="444"/>
      <c r="V20" s="444" t="s">
        <v>324</v>
      </c>
      <c r="W20" s="444"/>
      <c r="X20" s="444"/>
      <c r="Y20" s="444"/>
      <c r="Z20" s="444"/>
      <c r="AA20" s="444"/>
      <c r="AB20" s="444"/>
      <c r="AC20" s="444"/>
      <c r="AD20" s="444"/>
      <c r="AE20" s="444"/>
      <c r="AF20" s="444"/>
      <c r="AG20" s="444"/>
      <c r="AH20" s="444"/>
    </row>
    <row r="21" spans="2:34" x14ac:dyDescent="0.25">
      <c r="B21" s="5"/>
      <c r="C21" s="6"/>
      <c r="D21" s="6"/>
      <c r="E21" s="6"/>
      <c r="F21" s="6"/>
      <c r="G21" s="6"/>
      <c r="H21" s="6"/>
      <c r="I21" s="6"/>
      <c r="J21" s="6"/>
      <c r="K21" s="6"/>
      <c r="L21" s="6"/>
      <c r="M21" s="6"/>
      <c r="N21" s="31"/>
      <c r="O21" s="6"/>
      <c r="P21" s="6"/>
      <c r="Q21" s="6"/>
      <c r="R21" s="6"/>
      <c r="S21" s="28"/>
      <c r="T21" s="444"/>
      <c r="U21" s="444"/>
      <c r="V21" s="444" t="s">
        <v>325</v>
      </c>
      <c r="W21" s="444">
        <f>W1*W3*W5*SIN(Z1)/2</f>
        <v>0</v>
      </c>
      <c r="X21" s="444" t="s">
        <v>333</v>
      </c>
      <c r="Y21" s="444">
        <f>30*SIN(Z1)</f>
        <v>30</v>
      </c>
      <c r="Z21" s="444"/>
      <c r="AA21" s="444"/>
      <c r="AB21" s="444"/>
      <c r="AC21" s="444"/>
      <c r="AD21" s="444"/>
      <c r="AE21" s="444"/>
      <c r="AF21" s="444"/>
      <c r="AG21" s="444"/>
      <c r="AH21" s="444"/>
    </row>
    <row r="22" spans="2:34" ht="18.75" x14ac:dyDescent="0.3">
      <c r="B22" s="5"/>
      <c r="C22" s="6"/>
      <c r="D22" s="6"/>
      <c r="E22" s="6"/>
      <c r="F22" s="6"/>
      <c r="G22" s="6"/>
      <c r="I22" s="378"/>
      <c r="J22" s="6"/>
      <c r="K22" s="6"/>
      <c r="L22" s="6"/>
      <c r="M22" s="6"/>
      <c r="N22" s="31"/>
      <c r="O22" s="6"/>
      <c r="P22" s="6"/>
      <c r="Q22" s="6"/>
      <c r="R22" s="6"/>
      <c r="S22" s="28"/>
      <c r="T22" s="444"/>
      <c r="U22" s="444"/>
      <c r="V22" s="444" t="s">
        <v>308</v>
      </c>
      <c r="W22" s="444">
        <f>IF(M35&gt;60,0,750*W3*W5*SIN(Z1)/2)</f>
        <v>0</v>
      </c>
      <c r="X22" s="444"/>
      <c r="Y22" s="444"/>
      <c r="Z22" s="444"/>
      <c r="AA22" s="444"/>
      <c r="AB22" s="444"/>
      <c r="AC22" s="444"/>
      <c r="AD22" s="444"/>
      <c r="AE22" s="444"/>
      <c r="AF22" s="444"/>
      <c r="AG22" s="444"/>
      <c r="AH22" s="444"/>
    </row>
    <row r="23" spans="2:34" x14ac:dyDescent="0.25">
      <c r="B23" s="5"/>
      <c r="C23" s="6"/>
      <c r="D23" s="6"/>
      <c r="E23" s="6"/>
      <c r="F23" s="6"/>
      <c r="G23" s="6"/>
      <c r="H23" s="6"/>
      <c r="I23" s="6"/>
      <c r="J23" s="6"/>
      <c r="K23" s="6"/>
      <c r="L23" s="6"/>
      <c r="M23" s="6"/>
      <c r="N23" s="31"/>
      <c r="O23" s="6"/>
      <c r="P23" s="6"/>
      <c r="Q23" s="6"/>
      <c r="R23" s="6"/>
      <c r="S23" s="28"/>
      <c r="T23" s="444"/>
      <c r="U23" s="444"/>
      <c r="V23" s="444" t="s">
        <v>326</v>
      </c>
      <c r="W23" s="444">
        <f>W21+W22</f>
        <v>0</v>
      </c>
      <c r="X23" s="444"/>
      <c r="Y23" s="444"/>
      <c r="Z23" s="444"/>
      <c r="AA23" s="444"/>
      <c r="AB23" s="444"/>
      <c r="AC23" s="444"/>
      <c r="AD23" s="444"/>
      <c r="AE23" s="444"/>
      <c r="AF23" s="444"/>
      <c r="AG23" s="444"/>
      <c r="AH23" s="444"/>
    </row>
    <row r="24" spans="2:34" x14ac:dyDescent="0.25">
      <c r="B24" s="5"/>
      <c r="C24" s="6"/>
      <c r="D24" s="6"/>
      <c r="E24" s="6"/>
      <c r="F24" s="6"/>
      <c r="G24" s="6"/>
      <c r="H24" s="6"/>
      <c r="I24" s="6"/>
      <c r="J24" s="6"/>
      <c r="K24" s="6"/>
      <c r="L24" s="6"/>
      <c r="M24" s="6"/>
      <c r="N24" s="31"/>
      <c r="O24" s="6"/>
      <c r="P24" s="6"/>
      <c r="Q24" s="6"/>
      <c r="R24" s="6"/>
      <c r="S24" s="28"/>
      <c r="T24" s="444"/>
      <c r="U24" s="444"/>
      <c r="V24" s="444" t="s">
        <v>335</v>
      </c>
      <c r="W24" s="444">
        <f>W23*W6*(3*W5^2-4*W6^2)/(24*W7*W9)</f>
        <v>0</v>
      </c>
      <c r="X24" s="444" t="s">
        <v>336</v>
      </c>
      <c r="Y24" s="444">
        <f>5*Y21*W5^4/(384*W7*W9)</f>
        <v>0</v>
      </c>
      <c r="Z24" s="444"/>
      <c r="AA24" s="444"/>
      <c r="AB24" s="444"/>
      <c r="AC24" s="444"/>
      <c r="AD24" s="444"/>
      <c r="AE24" s="444"/>
      <c r="AF24" s="444"/>
      <c r="AG24" s="444"/>
      <c r="AH24" s="444"/>
    </row>
    <row r="25" spans="2:34" x14ac:dyDescent="0.25">
      <c r="B25" s="5"/>
      <c r="C25" s="6"/>
      <c r="D25" s="6"/>
      <c r="E25" s="6"/>
      <c r="F25" s="6"/>
      <c r="G25" s="6"/>
      <c r="H25" s="6"/>
      <c r="I25" s="6"/>
      <c r="J25" s="6"/>
      <c r="K25" s="6"/>
      <c r="L25" s="6"/>
      <c r="M25" s="6"/>
      <c r="N25" s="31"/>
      <c r="O25" s="6"/>
      <c r="P25" s="6"/>
      <c r="Q25" s="6"/>
      <c r="R25" s="6"/>
      <c r="S25" s="28"/>
      <c r="T25" s="444"/>
      <c r="U25" s="444"/>
      <c r="V25" s="444" t="s">
        <v>327</v>
      </c>
      <c r="W25" s="444">
        <f>W24+Y24</f>
        <v>0</v>
      </c>
      <c r="X25" s="444" t="s">
        <v>15</v>
      </c>
      <c r="Y25" s="444"/>
      <c r="Z25" s="444"/>
      <c r="AA25" s="444"/>
      <c r="AB25" s="444"/>
      <c r="AC25" s="444"/>
      <c r="AD25" s="444"/>
      <c r="AE25" s="444"/>
      <c r="AF25" s="444"/>
      <c r="AG25" s="444"/>
      <c r="AH25" s="444"/>
    </row>
    <row r="26" spans="2:34" x14ac:dyDescent="0.25">
      <c r="B26" s="5"/>
      <c r="C26" s="6"/>
      <c r="D26" s="6"/>
      <c r="E26" s="6"/>
      <c r="F26" s="6"/>
      <c r="G26" s="6"/>
      <c r="H26" s="6"/>
      <c r="I26" s="6"/>
      <c r="J26" s="6"/>
      <c r="K26" s="6"/>
      <c r="L26" s="6"/>
      <c r="M26" s="6"/>
      <c r="N26" s="31"/>
      <c r="O26" s="6"/>
      <c r="P26" s="6"/>
      <c r="Q26" s="6"/>
      <c r="R26" s="6"/>
      <c r="S26" s="28"/>
      <c r="T26" s="444"/>
      <c r="U26" s="444"/>
      <c r="V26" s="444" t="s">
        <v>327</v>
      </c>
      <c r="W26" s="444">
        <f>W25*100000000</f>
        <v>0</v>
      </c>
      <c r="X26" s="444" t="s">
        <v>16</v>
      </c>
      <c r="Y26" s="444"/>
      <c r="Z26" s="444"/>
      <c r="AA26" s="444"/>
      <c r="AB26" s="444"/>
      <c r="AC26" s="444"/>
      <c r="AD26" s="444"/>
      <c r="AE26" s="444"/>
      <c r="AF26" s="444"/>
      <c r="AG26" s="444"/>
      <c r="AH26" s="444"/>
    </row>
    <row r="27" spans="2:34" x14ac:dyDescent="0.25">
      <c r="B27" s="5"/>
      <c r="C27" s="6"/>
      <c r="D27" s="6"/>
      <c r="E27" s="6"/>
      <c r="F27" s="6"/>
      <c r="G27" s="6"/>
      <c r="H27" s="6"/>
      <c r="I27" s="6"/>
      <c r="J27" s="6"/>
      <c r="K27" s="6"/>
      <c r="L27" s="6"/>
      <c r="M27" s="6"/>
      <c r="N27" s="31"/>
      <c r="O27" s="6"/>
      <c r="P27" s="6"/>
      <c r="Q27" s="6"/>
      <c r="R27" s="6"/>
      <c r="S27" s="28"/>
      <c r="T27" s="444"/>
      <c r="U27" s="444"/>
      <c r="V27" s="444" t="s">
        <v>331</v>
      </c>
      <c r="W27" s="444" t="e">
        <f>(W16*(5*W5^2-4*W10^2)^2+Y16*(5*W5^2-4*W11^2)^2)/(1920*W7*AC16)+5*AA13*W5^4/(384*W7*AC16)</f>
        <v>#DIV/0!</v>
      </c>
      <c r="X27" s="444"/>
      <c r="Y27" s="444"/>
      <c r="Z27" s="444"/>
      <c r="AA27" s="444"/>
      <c r="AB27" s="444"/>
      <c r="AC27" s="444"/>
      <c r="AD27" s="444"/>
      <c r="AE27" s="444"/>
      <c r="AF27" s="444"/>
      <c r="AG27" s="444"/>
      <c r="AH27" s="444"/>
    </row>
    <row r="28" spans="2:34" x14ac:dyDescent="0.25">
      <c r="B28" s="5"/>
      <c r="C28" s="6"/>
      <c r="D28" s="6"/>
      <c r="E28" s="6"/>
      <c r="F28" s="6"/>
      <c r="G28" s="6"/>
      <c r="H28" s="6"/>
      <c r="I28" s="6"/>
      <c r="J28" s="6"/>
      <c r="K28" s="6"/>
      <c r="L28" s="6"/>
      <c r="M28" s="6"/>
      <c r="N28" s="6"/>
      <c r="O28" s="6"/>
      <c r="P28" s="6"/>
      <c r="Q28" s="6"/>
      <c r="R28" s="6"/>
      <c r="S28" s="28"/>
      <c r="T28" s="444"/>
      <c r="U28" s="444"/>
      <c r="V28" s="444" t="s">
        <v>332</v>
      </c>
      <c r="W28" s="444" t="e">
        <f>W23*W6*(3*W5^2-4*W6^2)/(24*W7*AD16)+5*Y21*W5^4/(384*W7*AD16)</f>
        <v>#DIV/0!</v>
      </c>
      <c r="X28" s="444"/>
      <c r="Y28" s="444"/>
      <c r="Z28" s="444"/>
      <c r="AA28" s="444"/>
      <c r="AB28" s="444"/>
      <c r="AC28" s="444"/>
      <c r="AD28" s="444"/>
      <c r="AE28" s="444"/>
      <c r="AF28" s="444"/>
      <c r="AG28" s="444"/>
      <c r="AH28" s="444"/>
    </row>
    <row r="29" spans="2:34" x14ac:dyDescent="0.25">
      <c r="B29" s="5"/>
      <c r="C29" s="6"/>
      <c r="D29" s="6"/>
      <c r="E29" s="6"/>
      <c r="F29" s="6"/>
      <c r="G29" s="6"/>
      <c r="H29" s="6"/>
      <c r="I29" s="6"/>
      <c r="J29" s="6"/>
      <c r="K29" s="6"/>
      <c r="L29" s="236" t="str">
        <f>IF(M35&lt;10,"Metal Technology do not recommend roof pitches less than 10 degrees.",IF(M35&gt;100,"Metal Technology do not recommend curtain walling screens installed",""))</f>
        <v/>
      </c>
      <c r="M29" s="6"/>
      <c r="N29" s="6"/>
      <c r="O29" s="6"/>
      <c r="P29" s="6"/>
      <c r="Q29" s="6"/>
      <c r="R29" s="6"/>
      <c r="S29" s="28"/>
      <c r="T29" s="444"/>
      <c r="U29" s="444" t="s">
        <v>79</v>
      </c>
      <c r="V29" s="444"/>
      <c r="W29" s="444"/>
      <c r="X29" s="444"/>
      <c r="Y29" s="444"/>
      <c r="Z29" s="444"/>
      <c r="AA29" s="444"/>
      <c r="AB29" s="444"/>
      <c r="AC29" s="444"/>
      <c r="AD29" s="444"/>
      <c r="AE29" s="444"/>
      <c r="AF29" s="444"/>
      <c r="AG29" s="444"/>
      <c r="AH29" s="444"/>
    </row>
    <row r="30" spans="2:34" x14ac:dyDescent="0.25">
      <c r="B30" s="5"/>
      <c r="C30" s="6"/>
      <c r="D30" s="6"/>
      <c r="E30" s="6"/>
      <c r="F30" s="6"/>
      <c r="G30" s="6"/>
      <c r="H30" s="6"/>
      <c r="I30" s="6"/>
      <c r="J30" s="6"/>
      <c r="K30" s="6"/>
      <c r="L30" s="236" t="str">
        <f>IF(M35&gt;100,"at an angle greater than 100 degrees.","")</f>
        <v/>
      </c>
      <c r="M30" s="6"/>
      <c r="N30" s="6"/>
      <c r="O30" s="6"/>
      <c r="P30" s="6"/>
      <c r="Q30" s="6"/>
      <c r="R30" s="6"/>
      <c r="S30" s="28"/>
      <c r="T30" s="444"/>
      <c r="U30" s="444" t="s">
        <v>211</v>
      </c>
      <c r="V30" s="444"/>
      <c r="W30" s="444"/>
      <c r="X30" s="444"/>
      <c r="Y30" s="444"/>
      <c r="Z30" s="444"/>
      <c r="AA30" s="444"/>
      <c r="AB30" s="444"/>
      <c r="AC30" s="444"/>
      <c r="AD30" s="444"/>
      <c r="AE30" s="444"/>
      <c r="AF30" s="444"/>
      <c r="AG30" s="444"/>
      <c r="AH30" s="444"/>
    </row>
    <row r="31" spans="2:34" x14ac:dyDescent="0.25">
      <c r="B31" s="5"/>
      <c r="C31" s="6"/>
      <c r="D31" s="6"/>
      <c r="E31" s="6"/>
      <c r="F31" s="6"/>
      <c r="G31" s="6"/>
      <c r="H31" s="6"/>
      <c r="I31" s="6"/>
      <c r="J31" s="6"/>
      <c r="K31" s="6"/>
      <c r="L31" s="236" t="str">
        <f>IF(M35&lt;10,"Please refer to Metal Technology’s technical department for further guidance.",IF(M35&gt;100,"Please refer to Metal Technology’s technical department for further guidance.",""))</f>
        <v/>
      </c>
      <c r="M31" s="6"/>
      <c r="N31" s="6"/>
      <c r="O31" s="6"/>
      <c r="P31" s="6"/>
      <c r="Q31" s="6"/>
      <c r="R31" s="6"/>
      <c r="S31" s="28"/>
      <c r="T31" s="444"/>
      <c r="U31" s="444"/>
      <c r="V31" s="444"/>
      <c r="W31" s="444"/>
      <c r="X31" s="444"/>
      <c r="Y31" s="444"/>
      <c r="Z31" s="444"/>
      <c r="AA31" s="444"/>
      <c r="AB31" s="444"/>
      <c r="AC31" s="444"/>
      <c r="AD31" s="444"/>
      <c r="AE31" s="444"/>
      <c r="AF31" s="444"/>
      <c r="AG31" s="444"/>
      <c r="AH31" s="444"/>
    </row>
    <row r="32" spans="2:34" x14ac:dyDescent="0.25">
      <c r="B32" s="5"/>
      <c r="C32" s="6"/>
      <c r="D32" s="6"/>
      <c r="E32" s="6"/>
      <c r="F32" s="6"/>
      <c r="G32" s="6"/>
      <c r="H32" s="6"/>
      <c r="I32" s="274" t="s">
        <v>221</v>
      </c>
      <c r="J32" s="274"/>
      <c r="K32" s="274"/>
      <c r="L32" s="6"/>
      <c r="M32" s="6"/>
      <c r="N32" s="6"/>
      <c r="O32" s="6"/>
      <c r="P32" s="6"/>
      <c r="Q32" s="6"/>
      <c r="R32" s="6"/>
      <c r="S32" s="28"/>
      <c r="T32" s="444"/>
      <c r="U32" s="444"/>
      <c r="V32" s="444"/>
      <c r="W32" s="444"/>
      <c r="X32" s="444"/>
      <c r="Y32" s="444"/>
      <c r="Z32" s="444"/>
      <c r="AA32" s="444"/>
      <c r="AB32" s="444"/>
      <c r="AC32" s="444"/>
      <c r="AD32" s="444"/>
      <c r="AE32" s="444"/>
      <c r="AF32" s="444"/>
      <c r="AG32" s="444"/>
      <c r="AH32" s="444"/>
    </row>
    <row r="33" spans="2:34" x14ac:dyDescent="0.25">
      <c r="B33" s="5"/>
      <c r="C33" s="541" t="s">
        <v>193</v>
      </c>
      <c r="D33" s="541"/>
      <c r="E33" s="541"/>
      <c r="F33" s="379"/>
      <c r="G33" s="371" t="s">
        <v>67</v>
      </c>
      <c r="H33" s="53"/>
      <c r="I33" s="573" t="s">
        <v>246</v>
      </c>
      <c r="J33" s="574"/>
      <c r="K33" s="575"/>
      <c r="L33" s="53"/>
      <c r="M33" s="43" t="str">
        <f>IF(M35&gt;60,"","Snow load of 0.75kN/m2 applies.")</f>
        <v/>
      </c>
      <c r="N33" s="53"/>
      <c r="O33" s="53"/>
      <c r="P33" s="53"/>
      <c r="Q33" s="53"/>
      <c r="R33" s="6"/>
      <c r="S33" s="28"/>
      <c r="T33" s="444"/>
      <c r="U33" s="444">
        <v>100</v>
      </c>
      <c r="V33" s="444"/>
      <c r="W33" s="444"/>
      <c r="X33" s="444"/>
      <c r="Y33" s="444"/>
      <c r="Z33" s="444"/>
      <c r="AA33" s="444"/>
      <c r="AB33" s="444"/>
      <c r="AC33" s="444"/>
      <c r="AD33" s="444"/>
      <c r="AE33" s="444"/>
      <c r="AF33" s="444"/>
      <c r="AG33" s="444"/>
      <c r="AH33" s="444"/>
    </row>
    <row r="34" spans="2:34" x14ac:dyDescent="0.25">
      <c r="B34" s="5"/>
      <c r="C34" s="371"/>
      <c r="D34" s="371"/>
      <c r="E34" s="371"/>
      <c r="F34" s="275"/>
      <c r="G34" s="371"/>
      <c r="H34" s="53"/>
      <c r="I34" s="53"/>
      <c r="J34" s="53"/>
      <c r="K34" s="53"/>
      <c r="L34" s="53"/>
      <c r="M34" s="53"/>
      <c r="N34" s="53"/>
      <c r="O34" s="53"/>
      <c r="P34" s="53"/>
      <c r="Q34" s="53"/>
      <c r="R34" s="6"/>
      <c r="S34" s="28"/>
      <c r="T34" s="444"/>
      <c r="U34" s="444">
        <v>75</v>
      </c>
      <c r="V34" s="444"/>
      <c r="W34" s="444"/>
      <c r="X34" s="444"/>
      <c r="Y34" s="444"/>
      <c r="Z34" s="444"/>
      <c r="AA34" s="444"/>
      <c r="AB34" s="444"/>
      <c r="AC34" s="444"/>
      <c r="AD34" s="444"/>
      <c r="AE34" s="444"/>
      <c r="AF34" s="444"/>
      <c r="AG34" s="444"/>
      <c r="AH34" s="444"/>
    </row>
    <row r="35" spans="2:34" x14ac:dyDescent="0.25">
      <c r="B35" s="5"/>
      <c r="C35" s="606" t="s">
        <v>62</v>
      </c>
      <c r="D35" s="606"/>
      <c r="E35" s="606"/>
      <c r="F35" s="561" t="s">
        <v>79</v>
      </c>
      <c r="G35" s="563"/>
      <c r="H35" s="53"/>
      <c r="I35" s="352"/>
      <c r="J35" s="31"/>
      <c r="K35" s="284"/>
      <c r="L35" s="53" t="s">
        <v>296</v>
      </c>
      <c r="M35" s="301">
        <v>90</v>
      </c>
      <c r="N35" s="380" t="s">
        <v>297</v>
      </c>
      <c r="O35" s="31"/>
      <c r="P35" s="53"/>
      <c r="Q35" s="53"/>
      <c r="R35" s="6"/>
      <c r="S35" s="28"/>
      <c r="T35" s="444"/>
      <c r="U35" s="444">
        <v>50</v>
      </c>
      <c r="V35" s="444"/>
      <c r="W35" s="444"/>
      <c r="X35" s="444"/>
      <c r="Y35" s="444"/>
      <c r="Z35" s="444"/>
      <c r="AA35" s="444"/>
      <c r="AB35" s="444"/>
      <c r="AC35" s="444"/>
      <c r="AD35" s="444"/>
      <c r="AE35" s="444"/>
      <c r="AF35" s="444"/>
      <c r="AG35" s="444"/>
      <c r="AH35" s="444"/>
    </row>
    <row r="36" spans="2:34" x14ac:dyDescent="0.25">
      <c r="B36" s="5"/>
      <c r="C36" s="371"/>
      <c r="D36" s="371"/>
      <c r="E36" s="371"/>
      <c r="F36" s="275"/>
      <c r="G36" s="371"/>
      <c r="H36" s="53"/>
      <c r="I36" s="53"/>
      <c r="J36" s="53"/>
      <c r="K36" s="53"/>
      <c r="L36" s="53"/>
      <c r="M36" s="53"/>
      <c r="N36" s="371"/>
      <c r="O36" s="31"/>
      <c r="P36" s="53"/>
      <c r="Q36" s="53"/>
      <c r="R36" s="6"/>
      <c r="S36" s="28"/>
      <c r="T36" s="444"/>
      <c r="U36" s="444"/>
      <c r="V36" s="444"/>
      <c r="W36" s="444"/>
      <c r="X36" s="444"/>
      <c r="Y36" s="444"/>
      <c r="Z36" s="444"/>
      <c r="AA36" s="444"/>
      <c r="AB36" s="444"/>
      <c r="AC36" s="444"/>
      <c r="AD36" s="444"/>
      <c r="AE36" s="444"/>
      <c r="AF36" s="444"/>
      <c r="AG36" s="444"/>
      <c r="AH36" s="444"/>
    </row>
    <row r="37" spans="2:34" x14ac:dyDescent="0.25">
      <c r="B37" s="5"/>
      <c r="C37" s="541" t="s">
        <v>298</v>
      </c>
      <c r="D37" s="541"/>
      <c r="E37" s="541"/>
      <c r="F37" s="379"/>
      <c r="G37" s="371" t="s">
        <v>65</v>
      </c>
      <c r="H37" s="53"/>
      <c r="I37" s="31" t="s">
        <v>66</v>
      </c>
      <c r="J37" s="31"/>
      <c r="K37" s="31"/>
      <c r="N37" s="53"/>
      <c r="O37" s="277">
        <f>IF(F35=U30,ABS('BS6399-2 Standard Method'!L56),I35)</f>
        <v>0</v>
      </c>
      <c r="P37" s="31" t="s">
        <v>67</v>
      </c>
      <c r="Q37" s="53"/>
      <c r="R37" s="6"/>
      <c r="S37" s="28"/>
      <c r="T37" s="444"/>
      <c r="U37" s="444"/>
      <c r="V37" s="444"/>
      <c r="W37" s="444"/>
      <c r="X37" s="444"/>
      <c r="Y37" s="444"/>
      <c r="Z37" s="444"/>
      <c r="AA37" s="444"/>
      <c r="AB37" s="444"/>
      <c r="AC37" s="444"/>
      <c r="AD37" s="444"/>
      <c r="AE37" s="444"/>
      <c r="AF37" s="444"/>
      <c r="AG37" s="444"/>
      <c r="AH37" s="444"/>
    </row>
    <row r="38" spans="2:34" x14ac:dyDescent="0.25">
      <c r="B38" s="5"/>
      <c r="C38" s="371"/>
      <c r="D38" s="371"/>
      <c r="E38" s="371"/>
      <c r="F38" s="275"/>
      <c r="G38" s="371"/>
      <c r="H38" s="53"/>
      <c r="I38" s="53"/>
      <c r="J38" s="53"/>
      <c r="K38" s="53"/>
      <c r="L38" s="53"/>
      <c r="M38" s="53"/>
      <c r="O38" s="53"/>
      <c r="P38" s="53"/>
      <c r="Q38" s="53"/>
      <c r="R38" s="6"/>
      <c r="S38" s="28"/>
      <c r="T38" s="444"/>
      <c r="U38" s="444" t="s">
        <v>246</v>
      </c>
      <c r="V38" s="444"/>
      <c r="W38" s="444"/>
      <c r="X38" s="444"/>
      <c r="Y38" s="444"/>
      <c r="Z38" s="444"/>
      <c r="AA38" s="444"/>
      <c r="AB38" s="444"/>
      <c r="AC38" s="444"/>
      <c r="AD38" s="444"/>
      <c r="AE38" s="444"/>
      <c r="AF38" s="444"/>
      <c r="AG38" s="444"/>
      <c r="AH38" s="444"/>
    </row>
    <row r="39" spans="2:34" x14ac:dyDescent="0.25">
      <c r="B39" s="5"/>
      <c r="C39" s="541" t="s">
        <v>299</v>
      </c>
      <c r="D39" s="541"/>
      <c r="E39" s="541"/>
      <c r="F39" s="379"/>
      <c r="G39" s="371" t="s">
        <v>65</v>
      </c>
      <c r="H39" s="53"/>
      <c r="I39" s="53"/>
      <c r="J39" s="53"/>
      <c r="K39" s="53"/>
      <c r="L39" s="53"/>
      <c r="M39" s="53"/>
      <c r="N39" s="549"/>
      <c r="O39" s="549"/>
      <c r="P39" s="549"/>
      <c r="Q39" s="549"/>
      <c r="R39" s="6"/>
      <c r="S39" s="28"/>
      <c r="T39" s="444"/>
      <c r="U39" s="444" t="s">
        <v>223</v>
      </c>
      <c r="V39" s="444"/>
      <c r="W39" s="444"/>
      <c r="X39" s="444"/>
      <c r="Y39" s="444"/>
      <c r="Z39" s="444"/>
      <c r="AA39" s="444"/>
      <c r="AB39" s="444"/>
      <c r="AC39" s="444"/>
      <c r="AD39" s="444"/>
      <c r="AE39" s="444"/>
      <c r="AF39" s="444"/>
      <c r="AG39" s="444"/>
      <c r="AH39" s="444"/>
    </row>
    <row r="40" spans="2:34" ht="18.75" x14ac:dyDescent="0.3">
      <c r="B40" s="5"/>
      <c r="C40" s="371"/>
      <c r="D40" s="371"/>
      <c r="E40" s="371"/>
      <c r="F40" s="275"/>
      <c r="G40" s="371"/>
      <c r="H40" s="53"/>
      <c r="I40" s="607" t="s">
        <v>300</v>
      </c>
      <c r="J40" s="607"/>
      <c r="K40" s="607"/>
      <c r="L40" s="608" t="e">
        <f>AB15</f>
        <v>#DIV/0!</v>
      </c>
      <c r="M40" s="608"/>
      <c r="N40" s="608"/>
      <c r="O40" s="608"/>
      <c r="P40" s="53"/>
      <c r="Q40" s="53"/>
      <c r="R40" s="6"/>
      <c r="S40" s="28"/>
      <c r="T40" s="444"/>
      <c r="U40" s="444" t="s">
        <v>247</v>
      </c>
      <c r="V40" s="444"/>
      <c r="W40" s="444"/>
      <c r="X40" s="444"/>
      <c r="Y40" s="444"/>
      <c r="Z40" s="444"/>
      <c r="AA40" s="444"/>
      <c r="AB40" s="444"/>
      <c r="AC40" s="444"/>
      <c r="AD40" s="444"/>
      <c r="AE40" s="444"/>
      <c r="AF40" s="444"/>
      <c r="AG40" s="444"/>
      <c r="AH40" s="444"/>
    </row>
    <row r="41" spans="2:34" x14ac:dyDescent="0.25">
      <c r="B41" s="5"/>
      <c r="C41" s="541" t="s">
        <v>301</v>
      </c>
      <c r="D41" s="541"/>
      <c r="E41" s="541"/>
      <c r="F41" s="379"/>
      <c r="G41" s="371" t="s">
        <v>65</v>
      </c>
      <c r="H41" s="53"/>
      <c r="I41" s="53"/>
      <c r="J41" s="53"/>
      <c r="K41" s="53"/>
      <c r="L41" s="53"/>
      <c r="M41" s="53"/>
      <c r="N41" s="53"/>
      <c r="O41" s="53"/>
      <c r="P41" s="53"/>
      <c r="Q41" s="53"/>
      <c r="R41" s="6"/>
      <c r="S41" s="28"/>
      <c r="T41" s="444"/>
      <c r="U41" s="444"/>
      <c r="V41" s="444"/>
      <c r="W41" s="444"/>
      <c r="X41" s="444"/>
      <c r="Y41" s="444"/>
      <c r="Z41" s="444"/>
      <c r="AA41" s="444"/>
      <c r="AB41" s="444"/>
      <c r="AC41" s="444"/>
      <c r="AD41" s="444"/>
      <c r="AE41" s="444"/>
      <c r="AF41" s="444"/>
      <c r="AG41" s="444"/>
      <c r="AH41" s="444"/>
    </row>
    <row r="42" spans="2:34" x14ac:dyDescent="0.25">
      <c r="B42" s="5"/>
      <c r="C42" s="371"/>
      <c r="D42" s="371"/>
      <c r="E42" s="371"/>
      <c r="F42" s="275"/>
      <c r="G42" s="371"/>
      <c r="H42" s="53"/>
      <c r="I42" s="536"/>
      <c r="J42" s="536"/>
      <c r="K42" s="536"/>
      <c r="L42" s="536"/>
      <c r="M42" s="31"/>
      <c r="N42" s="53"/>
      <c r="O42" s="53"/>
      <c r="P42" s="53"/>
      <c r="Q42" s="53"/>
      <c r="R42" s="6"/>
      <c r="S42" s="28"/>
      <c r="T42" s="444"/>
      <c r="U42" s="444"/>
      <c r="V42" s="444"/>
      <c r="W42" s="444"/>
      <c r="X42" s="444"/>
      <c r="Y42" s="444"/>
      <c r="Z42" s="444"/>
      <c r="AA42" s="444"/>
      <c r="AB42" s="444"/>
      <c r="AC42" s="444"/>
      <c r="AD42" s="444"/>
      <c r="AE42" s="444"/>
      <c r="AF42" s="444"/>
      <c r="AG42" s="444"/>
      <c r="AH42" s="444"/>
    </row>
    <row r="43" spans="2:34" x14ac:dyDescent="0.25">
      <c r="B43" s="5"/>
      <c r="C43" s="541" t="s">
        <v>302</v>
      </c>
      <c r="D43" s="541"/>
      <c r="E43" s="541"/>
      <c r="F43" s="379">
        <v>100</v>
      </c>
      <c r="G43" s="371" t="s">
        <v>65</v>
      </c>
      <c r="H43" s="53"/>
      <c r="I43" s="603" t="s">
        <v>303</v>
      </c>
      <c r="J43" s="541"/>
      <c r="K43" s="541"/>
      <c r="L43" s="381" t="str">
        <f>IF(M48&lt;0.3,"Screw fixed only",IF(M48&lt;1,"Cast spring loaded cleat of Extruded spring loaded cleat",IF(M48&lt;2.5,"HR 5049 extruded cleat or HR5047 extruded 'C' cleat","NA")))</f>
        <v>Screw fixed only</v>
      </c>
      <c r="M43" s="63"/>
      <c r="N43" s="63"/>
      <c r="O43" s="63"/>
      <c r="P43" s="63"/>
      <c r="Q43" s="63"/>
      <c r="R43" s="63"/>
      <c r="S43" s="28"/>
      <c r="T43" s="444"/>
      <c r="U43" s="444"/>
      <c r="V43" s="444"/>
      <c r="W43" s="444"/>
      <c r="X43" s="444"/>
      <c r="Y43" s="444"/>
      <c r="Z43" s="444"/>
      <c r="AA43" s="444"/>
      <c r="AB43" s="444"/>
      <c r="AC43" s="444"/>
      <c r="AD43" s="444"/>
      <c r="AE43" s="444"/>
      <c r="AF43" s="444"/>
      <c r="AG43" s="444"/>
      <c r="AH43" s="444"/>
    </row>
    <row r="44" spans="2:34" x14ac:dyDescent="0.25">
      <c r="B44" s="5"/>
      <c r="C44" s="371"/>
      <c r="D44" s="371"/>
      <c r="E44" s="371"/>
      <c r="F44" s="31"/>
      <c r="G44" s="31"/>
      <c r="H44" s="31"/>
      <c r="I44" s="53"/>
      <c r="J44" s="53"/>
      <c r="K44" s="53"/>
      <c r="L44" s="63"/>
      <c r="M44" s="63"/>
      <c r="N44" s="63"/>
      <c r="O44" s="63"/>
      <c r="P44" s="63"/>
      <c r="Q44" s="63"/>
      <c r="R44" s="63"/>
      <c r="S44" s="28"/>
      <c r="T44" s="444"/>
      <c r="U44" s="444"/>
      <c r="V44" s="444"/>
      <c r="W44" s="444"/>
      <c r="X44" s="444"/>
      <c r="Y44" s="444"/>
      <c r="Z44" s="444"/>
      <c r="AA44" s="444"/>
      <c r="AB44" s="444"/>
      <c r="AC44" s="444"/>
      <c r="AD44" s="444"/>
      <c r="AE44" s="444"/>
      <c r="AF44" s="444"/>
      <c r="AG44" s="444"/>
      <c r="AH44" s="444"/>
    </row>
    <row r="45" spans="2:34" x14ac:dyDescent="0.25">
      <c r="B45" s="5"/>
      <c r="C45" s="31" t="s">
        <v>279</v>
      </c>
      <c r="D45" s="31"/>
      <c r="E45" s="31"/>
      <c r="F45" s="53"/>
      <c r="G45" s="53"/>
      <c r="H45" s="284"/>
      <c r="I45" s="7"/>
      <c r="J45" s="7"/>
      <c r="K45" s="7"/>
      <c r="L45" s="7"/>
      <c r="M45" s="7"/>
      <c r="N45" s="7"/>
      <c r="P45" s="53"/>
      <c r="Q45" s="53"/>
      <c r="R45" s="6"/>
      <c r="S45" s="28"/>
      <c r="T45" s="444"/>
      <c r="U45" s="444"/>
      <c r="V45" s="444"/>
      <c r="W45" s="444"/>
      <c r="X45" s="444"/>
      <c r="Y45" s="444"/>
      <c r="Z45" s="444"/>
      <c r="AA45" s="444"/>
      <c r="AB45" s="444"/>
      <c r="AC45" s="444"/>
      <c r="AD45" s="444"/>
      <c r="AE45" s="444"/>
      <c r="AF45" s="444"/>
      <c r="AG45" s="444"/>
      <c r="AH45" s="444"/>
    </row>
    <row r="46" spans="2:34" x14ac:dyDescent="0.25">
      <c r="B46" s="5"/>
      <c r="C46" s="31" t="s">
        <v>304</v>
      </c>
      <c r="D46" s="31"/>
      <c r="E46" s="31"/>
      <c r="F46" s="283">
        <f>W8*1000</f>
        <v>0</v>
      </c>
      <c r="G46" s="31" t="s">
        <v>65</v>
      </c>
      <c r="H46" s="31"/>
      <c r="I46" s="6" t="s">
        <v>206</v>
      </c>
      <c r="J46" s="53"/>
      <c r="K46" s="53"/>
      <c r="L46" s="53" t="s">
        <v>207</v>
      </c>
      <c r="M46" s="390">
        <f>(W16*(W5-W10)+Y16*(W5-W11))/2000+ABS(30*COS(M35*PI()/180)*W5/2000)</f>
        <v>0</v>
      </c>
      <c r="N46" s="53" t="s">
        <v>77</v>
      </c>
      <c r="O46" s="53"/>
      <c r="P46" s="53"/>
      <c r="Q46" s="53"/>
      <c r="R46" s="6"/>
      <c r="S46" s="28"/>
      <c r="T46" s="444"/>
      <c r="U46" s="444"/>
      <c r="V46" s="444"/>
      <c r="W46" s="444"/>
      <c r="X46" s="444"/>
      <c r="Y46" s="444"/>
      <c r="Z46" s="444"/>
      <c r="AA46" s="444"/>
      <c r="AB46" s="444"/>
      <c r="AC46" s="444"/>
      <c r="AD46" s="444"/>
      <c r="AE46" s="444"/>
      <c r="AF46" s="444"/>
      <c r="AG46" s="444"/>
      <c r="AH46" s="444"/>
    </row>
    <row r="47" spans="2:34" x14ac:dyDescent="0.25">
      <c r="B47" s="5"/>
      <c r="C47" s="31"/>
      <c r="D47" s="31"/>
      <c r="E47" s="31"/>
      <c r="F47" s="31"/>
      <c r="G47" s="31"/>
      <c r="H47" s="31"/>
      <c r="I47" s="53"/>
      <c r="J47" s="53"/>
      <c r="K47" s="53"/>
      <c r="L47" s="53"/>
      <c r="M47" s="391"/>
      <c r="N47" s="53"/>
      <c r="O47" s="7"/>
      <c r="P47" s="7"/>
      <c r="Q47" s="7"/>
      <c r="R47" s="6"/>
      <c r="S47" s="28"/>
      <c r="T47" s="444"/>
      <c r="U47" s="444"/>
      <c r="V47" s="444"/>
      <c r="W47" s="444"/>
      <c r="X47" s="444"/>
      <c r="Y47" s="444"/>
      <c r="Z47" s="444"/>
      <c r="AA47" s="444"/>
      <c r="AB47" s="444"/>
      <c r="AC47" s="444"/>
      <c r="AD47" s="444"/>
      <c r="AE47" s="444"/>
      <c r="AF47" s="444"/>
      <c r="AG47" s="444"/>
      <c r="AH47" s="444"/>
    </row>
    <row r="48" spans="2:34" x14ac:dyDescent="0.25">
      <c r="B48" s="5"/>
      <c r="C48" s="604"/>
      <c r="D48" s="604"/>
      <c r="E48" s="604"/>
      <c r="F48" s="605"/>
      <c r="G48" s="605"/>
      <c r="H48" s="31"/>
      <c r="I48" s="53"/>
      <c r="J48" s="53"/>
      <c r="K48" s="53"/>
      <c r="L48" s="53" t="s">
        <v>208</v>
      </c>
      <c r="M48" s="390">
        <f>W23/1000+30*SIN(M35*PI()/180)*W5/2000</f>
        <v>0</v>
      </c>
      <c r="N48" s="53" t="s">
        <v>77</v>
      </c>
      <c r="O48" s="7"/>
      <c r="P48" s="7"/>
      <c r="Q48" s="7"/>
      <c r="R48" s="6"/>
      <c r="S48" s="28"/>
      <c r="T48" s="444"/>
      <c r="U48" s="444"/>
      <c r="V48" s="444"/>
      <c r="W48" s="444"/>
      <c r="X48" s="444"/>
      <c r="Y48" s="444"/>
      <c r="Z48" s="444"/>
      <c r="AA48" s="444"/>
      <c r="AB48" s="444"/>
      <c r="AC48" s="444"/>
      <c r="AD48" s="444"/>
      <c r="AE48" s="444"/>
      <c r="AF48" s="444"/>
      <c r="AG48" s="444"/>
      <c r="AH48" s="444"/>
    </row>
    <row r="49" spans="2:34" x14ac:dyDescent="0.25">
      <c r="B49" s="5"/>
      <c r="C49" s="31"/>
      <c r="D49" s="31"/>
      <c r="E49" s="31"/>
      <c r="F49" s="31"/>
      <c r="G49" s="31"/>
      <c r="H49" s="31"/>
      <c r="I49" s="382"/>
      <c r="J49" s="383"/>
      <c r="K49" s="382"/>
      <c r="L49" s="383"/>
      <c r="M49" s="392"/>
      <c r="N49" s="383"/>
      <c r="O49" s="7"/>
      <c r="P49" s="7"/>
      <c r="Q49" s="7"/>
      <c r="R49" s="6"/>
      <c r="S49" s="28"/>
      <c r="T49" s="444"/>
      <c r="U49" s="444"/>
      <c r="V49" s="444"/>
      <c r="W49" s="444"/>
      <c r="X49" s="444"/>
      <c r="Y49" s="444"/>
      <c r="Z49" s="444"/>
      <c r="AA49" s="444"/>
      <c r="AB49" s="444"/>
      <c r="AC49" s="444"/>
      <c r="AD49" s="444"/>
      <c r="AE49" s="444"/>
      <c r="AF49" s="444"/>
      <c r="AG49" s="444"/>
      <c r="AH49" s="444"/>
    </row>
    <row r="50" spans="2:34" x14ac:dyDescent="0.25">
      <c r="B50" s="5"/>
      <c r="C50" s="381" t="str">
        <f>IF(F37*F41&gt;4000000,"Glass unit area is &gt; 4m2!",IF(F39*F41&gt;4000000,"Glass unit area is &gt; 4m2!",""))</f>
        <v/>
      </c>
      <c r="D50" s="384"/>
      <c r="E50" s="384"/>
      <c r="F50" s="605"/>
      <c r="G50" s="605"/>
      <c r="H50" s="31"/>
      <c r="I50" s="248" t="s">
        <v>305</v>
      </c>
      <c r="J50" s="385"/>
      <c r="K50" s="385"/>
      <c r="L50" s="348"/>
      <c r="M50" s="390" t="e">
        <f>IF(AB15="NA","NA",AC15)</f>
        <v>#DIV/0!</v>
      </c>
      <c r="N50" s="275" t="s">
        <v>16</v>
      </c>
      <c r="O50" s="386"/>
      <c r="P50" s="387"/>
      <c r="Q50" s="53"/>
      <c r="R50" s="6"/>
      <c r="S50" s="28"/>
      <c r="T50" s="444"/>
      <c r="U50" s="444"/>
      <c r="V50" s="444"/>
      <c r="W50" s="444"/>
      <c r="X50" s="444"/>
      <c r="Y50" s="444"/>
      <c r="Z50" s="444"/>
      <c r="AA50" s="444"/>
      <c r="AB50" s="444"/>
      <c r="AC50" s="444"/>
      <c r="AD50" s="444"/>
      <c r="AE50" s="444"/>
      <c r="AF50" s="444"/>
      <c r="AG50" s="444"/>
      <c r="AH50" s="444"/>
    </row>
    <row r="51" spans="2:34" x14ac:dyDescent="0.25">
      <c r="B51" s="5"/>
      <c r="C51" s="236" t="str">
        <f>IF(F37*F41&gt;4000000,"Fabricator to check with unit supplier that the glass specification",IF(F39*F41&gt;4000000,"Fabricator to check with unit supplier that the glass specification",""))</f>
        <v/>
      </c>
      <c r="D51" s="53"/>
      <c r="E51" s="53"/>
      <c r="F51" s="53"/>
      <c r="G51" s="53"/>
      <c r="H51" s="53"/>
      <c r="I51" s="51"/>
      <c r="J51" s="51"/>
      <c r="K51" s="51"/>
      <c r="L51" s="51"/>
      <c r="M51" s="52"/>
      <c r="N51" s="51"/>
      <c r="O51" s="53"/>
      <c r="P51" s="53"/>
      <c r="Q51" s="53"/>
      <c r="R51" s="6"/>
      <c r="S51" s="28"/>
      <c r="T51" s="444"/>
      <c r="U51" s="444"/>
      <c r="V51" s="444"/>
      <c r="W51" s="444"/>
      <c r="X51" s="444"/>
      <c r="Y51" s="444"/>
      <c r="Z51" s="444"/>
      <c r="AA51" s="444"/>
      <c r="AB51" s="444"/>
      <c r="AC51" s="444"/>
      <c r="AD51" s="444"/>
      <c r="AE51" s="444"/>
      <c r="AF51" s="444"/>
      <c r="AG51" s="444"/>
      <c r="AH51" s="444"/>
    </row>
    <row r="52" spans="2:34" x14ac:dyDescent="0.25">
      <c r="B52" s="5"/>
      <c r="C52" s="236" t="str">
        <f>IF(F37*F41&gt;4000000,"is suitable for use with standard 100mm glazing supports.",IF(F39*F41&gt;4000000,"is suitable for use with standard 100mm glazing supports.",""))</f>
        <v/>
      </c>
      <c r="D52" s="53"/>
      <c r="E52" s="53"/>
      <c r="F52" s="53"/>
      <c r="G52" s="53"/>
      <c r="H52" s="53"/>
      <c r="I52" s="6" t="s">
        <v>306</v>
      </c>
      <c r="J52" s="53"/>
      <c r="K52" s="53"/>
      <c r="L52" s="53"/>
      <c r="M52" s="390" t="e">
        <f>AD15</f>
        <v>#DIV/0!</v>
      </c>
      <c r="N52" s="53" t="s">
        <v>16</v>
      </c>
      <c r="O52" s="53"/>
      <c r="P52" s="53"/>
      <c r="Q52" s="53"/>
      <c r="R52" s="6"/>
      <c r="S52" s="28"/>
      <c r="T52" s="444"/>
      <c r="U52" s="444"/>
      <c r="V52" s="444"/>
      <c r="W52" s="444"/>
      <c r="X52" s="444"/>
      <c r="Y52" s="444"/>
      <c r="Z52" s="444"/>
      <c r="AA52" s="444"/>
      <c r="AB52" s="444"/>
      <c r="AC52" s="444"/>
      <c r="AD52" s="444"/>
      <c r="AE52" s="444"/>
      <c r="AF52" s="444"/>
      <c r="AG52" s="444"/>
      <c r="AH52" s="444"/>
    </row>
    <row r="53" spans="2:34" x14ac:dyDescent="0.25">
      <c r="B53" s="5"/>
      <c r="C53" s="53"/>
      <c r="D53" s="53"/>
      <c r="E53" s="53"/>
      <c r="F53" s="53"/>
      <c r="G53" s="53"/>
      <c r="H53" s="53"/>
      <c r="I53" s="53"/>
      <c r="J53" s="53"/>
      <c r="K53" s="53"/>
      <c r="L53" s="53"/>
      <c r="M53" s="53"/>
      <c r="N53" s="53"/>
      <c r="O53" s="53"/>
      <c r="P53" s="53"/>
      <c r="Q53" s="53"/>
      <c r="R53" s="6"/>
      <c r="S53" s="28"/>
      <c r="T53" s="444"/>
      <c r="U53" s="444"/>
      <c r="V53" s="444"/>
      <c r="W53" s="444"/>
      <c r="X53" s="444"/>
      <c r="Y53" s="444"/>
      <c r="Z53" s="444"/>
      <c r="AA53" s="444"/>
      <c r="AB53" s="444"/>
      <c r="AC53" s="444"/>
      <c r="AD53" s="444"/>
      <c r="AE53" s="444"/>
      <c r="AF53" s="444"/>
      <c r="AG53" s="444"/>
      <c r="AH53" s="444"/>
    </row>
    <row r="54" spans="2:34" x14ac:dyDescent="0.25">
      <c r="B54" s="5"/>
      <c r="C54" s="388" t="str">
        <f>IF(F43&lt;100,"Fabricator to check with unit supplier that the glass","")</f>
        <v/>
      </c>
      <c r="D54" s="53"/>
      <c r="E54" s="53"/>
      <c r="F54" s="53"/>
      <c r="G54" s="53"/>
      <c r="H54" s="53"/>
      <c r="I54" s="6" t="s">
        <v>202</v>
      </c>
      <c r="J54" s="6"/>
      <c r="K54" s="6"/>
      <c r="L54" s="6"/>
      <c r="M54" s="389" t="e">
        <f>IF(AB15="NA","NA",W27*1000)</f>
        <v>#DIV/0!</v>
      </c>
      <c r="N54" s="6" t="s">
        <v>65</v>
      </c>
      <c r="O54" s="6" t="s">
        <v>203</v>
      </c>
      <c r="P54" s="53"/>
      <c r="Q54" s="53"/>
      <c r="R54" s="6"/>
      <c r="S54" s="28"/>
      <c r="T54" s="444"/>
      <c r="U54" s="444"/>
      <c r="V54" s="444"/>
      <c r="W54" s="444"/>
      <c r="X54" s="444"/>
      <c r="Y54" s="444"/>
      <c r="Z54" s="444"/>
      <c r="AA54" s="444"/>
      <c r="AB54" s="444"/>
      <c r="AC54" s="444"/>
      <c r="AD54" s="444"/>
      <c r="AE54" s="444"/>
      <c r="AF54" s="444"/>
      <c r="AG54" s="444"/>
      <c r="AH54" s="444"/>
    </row>
    <row r="55" spans="2:34" x14ac:dyDescent="0.25">
      <c r="B55" s="5"/>
      <c r="C55" s="236" t="str">
        <f>IF(F43&lt;100,"specification is suitable for use with glazing supports","")</f>
        <v/>
      </c>
      <c r="D55" s="53"/>
      <c r="E55" s="53"/>
      <c r="F55" s="53"/>
      <c r="G55" s="53"/>
      <c r="H55" s="53"/>
      <c r="I55" s="6"/>
      <c r="J55" s="6"/>
      <c r="K55" s="6"/>
      <c r="L55" s="6"/>
      <c r="M55" s="261"/>
      <c r="N55" s="6"/>
      <c r="O55" s="53"/>
      <c r="P55" s="53"/>
      <c r="Q55" s="53"/>
      <c r="R55" s="6"/>
      <c r="S55" s="28"/>
      <c r="T55" s="444"/>
      <c r="U55" s="444"/>
      <c r="V55" s="444"/>
      <c r="W55" s="444"/>
      <c r="X55" s="444"/>
      <c r="Y55" s="444"/>
      <c r="Z55" s="444"/>
      <c r="AA55" s="444"/>
      <c r="AB55" s="444"/>
      <c r="AC55" s="444"/>
      <c r="AD55" s="444"/>
      <c r="AE55" s="444"/>
      <c r="AF55" s="444"/>
      <c r="AG55" s="444"/>
      <c r="AH55" s="444"/>
    </row>
    <row r="56" spans="2:34" x14ac:dyDescent="0.25">
      <c r="B56" s="5"/>
      <c r="C56" s="236" t="str">
        <f>IF(F43&lt;100,"in this position","")</f>
        <v/>
      </c>
      <c r="D56" s="53"/>
      <c r="E56" s="53"/>
      <c r="F56" s="53"/>
      <c r="G56" s="53"/>
      <c r="H56" s="53"/>
      <c r="I56" s="6" t="s">
        <v>204</v>
      </c>
      <c r="J56" s="6"/>
      <c r="K56" s="6"/>
      <c r="L56" s="6"/>
      <c r="M56" s="389" t="e">
        <f>IF(AB15="NA","NA",W28*1000)</f>
        <v>#DIV/0!</v>
      </c>
      <c r="N56" s="6" t="s">
        <v>65</v>
      </c>
      <c r="O56" s="6" t="s">
        <v>205</v>
      </c>
      <c r="P56" s="53"/>
      <c r="Q56" s="53"/>
      <c r="R56" s="6"/>
      <c r="S56" s="28"/>
      <c r="T56" s="444"/>
      <c r="U56" s="444"/>
      <c r="V56" s="444"/>
      <c r="W56" s="444"/>
      <c r="X56" s="444"/>
      <c r="Y56" s="444"/>
      <c r="Z56" s="444"/>
      <c r="AA56" s="444"/>
      <c r="AB56" s="444"/>
      <c r="AC56" s="444"/>
      <c r="AD56" s="444"/>
      <c r="AE56" s="444"/>
      <c r="AF56" s="444"/>
      <c r="AG56" s="444"/>
      <c r="AH56" s="444"/>
    </row>
    <row r="57" spans="2:34" x14ac:dyDescent="0.25">
      <c r="B57" s="5"/>
      <c r="C57" s="29">
        <v>75</v>
      </c>
      <c r="D57" s="53"/>
      <c r="E57" s="53"/>
      <c r="F57" s="53"/>
      <c r="G57" s="53"/>
      <c r="H57" s="53"/>
      <c r="I57" s="7"/>
      <c r="J57" s="7"/>
      <c r="K57" s="7"/>
      <c r="L57" s="7"/>
      <c r="M57" s="7"/>
      <c r="N57" s="7"/>
      <c r="O57" s="53"/>
      <c r="P57" s="53"/>
      <c r="Q57" s="53"/>
      <c r="R57" s="6"/>
      <c r="S57" s="28"/>
      <c r="T57" s="444"/>
      <c r="U57" s="444"/>
      <c r="V57" s="444"/>
      <c r="W57" s="444"/>
      <c r="X57" s="444"/>
      <c r="Y57" s="444"/>
      <c r="Z57" s="444"/>
      <c r="AA57" s="444"/>
      <c r="AB57" s="444"/>
      <c r="AC57" s="444"/>
      <c r="AD57" s="444"/>
      <c r="AE57" s="444"/>
      <c r="AF57" s="444"/>
      <c r="AG57" s="444"/>
      <c r="AH57" s="444"/>
    </row>
    <row r="58" spans="2:34" x14ac:dyDescent="0.25">
      <c r="B58" s="5"/>
      <c r="C58" s="29">
        <v>50</v>
      </c>
      <c r="D58" s="53"/>
      <c r="E58" s="53"/>
      <c r="F58" s="53"/>
      <c r="G58" s="53"/>
      <c r="H58" s="53"/>
      <c r="I58" s="53"/>
      <c r="J58" s="53"/>
      <c r="K58" s="53"/>
      <c r="L58" s="53"/>
      <c r="M58" s="53"/>
      <c r="N58" s="53"/>
      <c r="O58" s="53"/>
      <c r="P58" s="53"/>
      <c r="Q58" s="53"/>
      <c r="R58" s="6"/>
      <c r="S58" s="28"/>
      <c r="T58" s="444"/>
      <c r="U58" s="444"/>
      <c r="V58" s="444"/>
      <c r="W58" s="444"/>
      <c r="X58" s="444"/>
      <c r="Y58" s="444"/>
      <c r="Z58" s="444"/>
      <c r="AA58" s="444"/>
      <c r="AB58" s="444"/>
      <c r="AC58" s="444"/>
      <c r="AD58" s="444"/>
      <c r="AE58" s="444"/>
      <c r="AF58" s="444"/>
      <c r="AG58" s="444"/>
      <c r="AH58" s="444"/>
    </row>
    <row r="59" spans="2:34" x14ac:dyDescent="0.25">
      <c r="B59" s="5"/>
      <c r="C59" s="53"/>
      <c r="D59" s="53"/>
      <c r="E59" s="53"/>
      <c r="F59" s="53"/>
      <c r="G59" s="53"/>
      <c r="H59" s="53"/>
      <c r="I59" s="7"/>
      <c r="J59" s="7"/>
      <c r="K59" s="7"/>
      <c r="L59" s="7"/>
      <c r="M59" s="7"/>
      <c r="N59" s="7"/>
      <c r="O59" s="7"/>
      <c r="P59" s="7"/>
      <c r="Q59" s="7"/>
      <c r="R59" s="6"/>
      <c r="S59" s="28"/>
      <c r="T59" s="444"/>
      <c r="U59" s="444"/>
      <c r="V59" s="444"/>
      <c r="W59" s="444"/>
      <c r="X59" s="444"/>
      <c r="Y59" s="444"/>
      <c r="Z59" s="444"/>
      <c r="AA59" s="444"/>
      <c r="AB59" s="444"/>
      <c r="AC59" s="444"/>
      <c r="AD59" s="444"/>
      <c r="AE59" s="444"/>
      <c r="AF59" s="444"/>
      <c r="AG59" s="444"/>
      <c r="AH59" s="444"/>
    </row>
    <row r="60" spans="2:34" x14ac:dyDescent="0.25">
      <c r="B60" s="5"/>
      <c r="C60" s="53"/>
      <c r="D60" s="53"/>
      <c r="E60" s="53"/>
      <c r="F60" s="53"/>
      <c r="G60" s="53"/>
      <c r="H60" s="53"/>
      <c r="I60" s="7"/>
      <c r="J60" s="7"/>
      <c r="K60" s="7"/>
      <c r="L60" s="7"/>
      <c r="M60" s="7"/>
      <c r="N60" s="7"/>
      <c r="O60" s="7"/>
      <c r="P60" s="7"/>
      <c r="Q60" s="7"/>
      <c r="R60" s="6"/>
      <c r="S60" s="28"/>
      <c r="T60" s="444"/>
      <c r="U60" s="444"/>
      <c r="V60" s="444"/>
      <c r="W60" s="444"/>
      <c r="X60" s="444"/>
      <c r="Y60" s="444"/>
      <c r="Z60" s="444"/>
      <c r="AA60" s="444"/>
      <c r="AB60" s="444"/>
      <c r="AC60" s="444"/>
      <c r="AD60" s="444"/>
      <c r="AE60" s="444"/>
      <c r="AF60" s="444"/>
      <c r="AG60" s="444"/>
      <c r="AH60" s="444"/>
    </row>
    <row r="61" spans="2:34" x14ac:dyDescent="0.25">
      <c r="B61" s="5"/>
      <c r="C61" s="53"/>
      <c r="D61" s="53"/>
      <c r="E61" s="53"/>
      <c r="F61" s="53"/>
      <c r="G61" s="53"/>
      <c r="H61" s="53"/>
      <c r="I61" s="7"/>
      <c r="J61" s="7"/>
      <c r="K61" s="7"/>
      <c r="L61" s="7"/>
      <c r="M61" s="7"/>
      <c r="N61" s="7"/>
      <c r="O61" s="7"/>
      <c r="P61" s="7"/>
      <c r="Q61" s="7"/>
      <c r="R61" s="6"/>
      <c r="S61" s="28"/>
      <c r="T61" s="444"/>
      <c r="U61" s="444"/>
      <c r="V61" s="444"/>
      <c r="W61" s="444"/>
      <c r="X61" s="444"/>
      <c r="Y61" s="444"/>
      <c r="Z61" s="444"/>
      <c r="AA61" s="444"/>
      <c r="AB61" s="444"/>
      <c r="AC61" s="444"/>
      <c r="AD61" s="444"/>
      <c r="AE61" s="444"/>
      <c r="AF61" s="444"/>
      <c r="AG61" s="444"/>
      <c r="AH61" s="444"/>
    </row>
    <row r="62" spans="2:34" x14ac:dyDescent="0.25">
      <c r="B62" s="5"/>
      <c r="C62" s="53"/>
      <c r="D62" s="53"/>
      <c r="E62" s="53"/>
      <c r="F62" s="53"/>
      <c r="G62" s="53"/>
      <c r="H62" s="53"/>
      <c r="I62" s="7"/>
      <c r="J62" s="7"/>
      <c r="K62" s="7"/>
      <c r="L62" s="7"/>
      <c r="M62" s="7"/>
      <c r="N62" s="7"/>
      <c r="O62" s="7"/>
      <c r="P62" s="7"/>
      <c r="Q62" s="7"/>
      <c r="R62" s="6"/>
      <c r="S62" s="28"/>
      <c r="T62" s="444"/>
      <c r="U62" s="444"/>
      <c r="V62" s="444"/>
      <c r="W62" s="444"/>
      <c r="X62" s="444"/>
      <c r="Y62" s="444"/>
      <c r="Z62" s="444"/>
      <c r="AA62" s="444"/>
      <c r="AB62" s="444"/>
      <c r="AC62" s="444"/>
      <c r="AD62" s="444"/>
      <c r="AE62" s="444"/>
      <c r="AF62" s="444"/>
      <c r="AG62" s="444"/>
      <c r="AH62" s="444"/>
    </row>
    <row r="63" spans="2:34" x14ac:dyDescent="0.25">
      <c r="B63" s="5"/>
      <c r="C63" s="53"/>
      <c r="D63" s="53"/>
      <c r="E63" s="53"/>
      <c r="F63" s="53"/>
      <c r="G63" s="53"/>
      <c r="H63" s="53"/>
      <c r="I63" s="7"/>
      <c r="J63" s="7"/>
      <c r="K63" s="7"/>
      <c r="L63" s="7"/>
      <c r="M63" s="7"/>
      <c r="N63" s="7"/>
      <c r="O63" s="7"/>
      <c r="P63" s="7"/>
      <c r="Q63" s="7"/>
      <c r="R63" s="6"/>
      <c r="S63" s="28"/>
      <c r="T63" s="444"/>
      <c r="U63" s="444"/>
      <c r="V63" s="444"/>
      <c r="W63" s="444"/>
      <c r="X63" s="444"/>
      <c r="Y63" s="444"/>
      <c r="Z63" s="444"/>
      <c r="AA63" s="444"/>
      <c r="AB63" s="444"/>
      <c r="AC63" s="444"/>
      <c r="AD63" s="444"/>
      <c r="AE63" s="444"/>
      <c r="AF63" s="444"/>
      <c r="AG63" s="444"/>
      <c r="AH63" s="444"/>
    </row>
    <row r="64" spans="2:34" x14ac:dyDescent="0.25">
      <c r="B64" s="5"/>
      <c r="C64" s="53"/>
      <c r="D64" s="53"/>
      <c r="E64" s="53"/>
      <c r="F64" s="53"/>
      <c r="G64" s="53"/>
      <c r="H64" s="53"/>
      <c r="I64" s="7"/>
      <c r="J64" s="7"/>
      <c r="K64" s="7"/>
      <c r="L64" s="7"/>
      <c r="M64" s="7"/>
      <c r="N64" s="7"/>
      <c r="O64" s="7"/>
      <c r="P64" s="7"/>
      <c r="Q64" s="7"/>
      <c r="R64" s="6"/>
      <c r="S64" s="28"/>
    </row>
    <row r="65" spans="2:19" x14ac:dyDescent="0.25">
      <c r="B65" s="5"/>
      <c r="C65" s="53"/>
      <c r="D65" s="53"/>
      <c r="E65" s="53"/>
      <c r="F65" s="53"/>
      <c r="G65" s="53"/>
      <c r="H65" s="53"/>
      <c r="I65" s="7"/>
      <c r="J65" s="7"/>
      <c r="K65" s="7"/>
      <c r="L65" s="7"/>
      <c r="M65" s="7"/>
      <c r="N65" s="7"/>
      <c r="O65" s="7"/>
      <c r="P65" s="7"/>
      <c r="Q65" s="7"/>
      <c r="R65" s="6"/>
      <c r="S65" s="28"/>
    </row>
    <row r="66" spans="2:19" x14ac:dyDescent="0.25">
      <c r="B66" s="5"/>
      <c r="C66" s="53"/>
      <c r="D66" s="53"/>
      <c r="E66" s="53"/>
      <c r="F66" s="53"/>
      <c r="G66" s="53"/>
      <c r="H66" s="53"/>
      <c r="I66" s="53"/>
      <c r="J66" s="53"/>
      <c r="K66" s="53"/>
      <c r="L66" s="53"/>
      <c r="M66" s="53"/>
      <c r="N66" s="53"/>
      <c r="O66" s="53"/>
      <c r="P66" s="53"/>
      <c r="Q66" s="53"/>
      <c r="R66" s="6"/>
      <c r="S66" s="28"/>
    </row>
    <row r="67" spans="2:19" x14ac:dyDescent="0.25">
      <c r="B67" s="5"/>
      <c r="C67" s="53"/>
      <c r="D67" s="53"/>
      <c r="E67" s="53"/>
      <c r="F67" s="53"/>
      <c r="G67" s="53"/>
      <c r="H67" s="53"/>
      <c r="I67" s="53"/>
      <c r="J67" s="53"/>
      <c r="K67" s="53"/>
      <c r="L67" s="53"/>
      <c r="M67" s="53"/>
      <c r="N67" s="53"/>
      <c r="O67" s="53"/>
      <c r="P67" s="53"/>
      <c r="Q67" s="53"/>
      <c r="R67" s="6"/>
      <c r="S67" s="28"/>
    </row>
    <row r="68" spans="2:19" x14ac:dyDescent="0.25">
      <c r="B68" s="5"/>
      <c r="C68" s="6"/>
      <c r="D68" s="6"/>
      <c r="E68" s="6"/>
      <c r="F68" s="6"/>
      <c r="G68" s="6"/>
      <c r="H68" s="6"/>
      <c r="I68" s="6"/>
      <c r="J68" s="6"/>
      <c r="K68" s="6"/>
      <c r="L68" s="6"/>
      <c r="M68" s="6"/>
      <c r="N68" s="6"/>
      <c r="O68" s="6"/>
      <c r="P68" s="6"/>
      <c r="Q68" s="6"/>
      <c r="R68" s="6"/>
      <c r="S68" s="28"/>
    </row>
    <row r="69" spans="2:19" x14ac:dyDescent="0.25">
      <c r="B69" s="5"/>
      <c r="C69" s="6"/>
      <c r="D69" s="6"/>
      <c r="E69" s="6"/>
      <c r="F69" s="6"/>
      <c r="G69" s="6"/>
      <c r="H69" s="6"/>
      <c r="I69" s="6"/>
      <c r="J69" s="6"/>
      <c r="K69" s="6"/>
      <c r="L69" s="6"/>
      <c r="M69" s="6"/>
      <c r="N69" s="6"/>
      <c r="O69" s="6"/>
      <c r="P69" s="6"/>
      <c r="Q69" s="6"/>
      <c r="R69" s="6"/>
      <c r="S69" s="28"/>
    </row>
    <row r="70" spans="2:19" x14ac:dyDescent="0.25">
      <c r="B70" s="5"/>
      <c r="C70" s="6"/>
      <c r="D70" s="6"/>
      <c r="E70" s="6"/>
      <c r="F70" s="6"/>
      <c r="G70" s="6"/>
      <c r="H70" s="6"/>
      <c r="I70" s="6"/>
      <c r="J70" s="6"/>
      <c r="K70" s="6"/>
      <c r="L70" s="6"/>
      <c r="M70" s="6"/>
      <c r="N70" s="6"/>
      <c r="O70" s="6"/>
      <c r="P70" s="6"/>
      <c r="Q70" s="6"/>
      <c r="R70" s="6"/>
      <c r="S70" s="28"/>
    </row>
    <row r="71" spans="2:19" x14ac:dyDescent="0.25">
      <c r="B71" s="5"/>
      <c r="C71" s="6"/>
      <c r="D71" s="6"/>
      <c r="E71" s="6"/>
      <c r="F71" s="6"/>
      <c r="G71" s="6"/>
      <c r="H71" s="6"/>
      <c r="I71" s="6"/>
      <c r="J71" s="6"/>
      <c r="K71" s="6"/>
      <c r="L71" s="6"/>
      <c r="M71" s="6"/>
      <c r="N71" s="6"/>
      <c r="O71" s="6"/>
      <c r="P71" s="6"/>
      <c r="Q71" s="6"/>
      <c r="R71" s="6"/>
      <c r="S71" s="28"/>
    </row>
    <row r="72" spans="2:19" x14ac:dyDescent="0.25">
      <c r="B72" s="5"/>
      <c r="C72" s="6"/>
      <c r="D72" s="6"/>
      <c r="E72" s="6"/>
      <c r="F72" s="6"/>
      <c r="G72" s="6"/>
      <c r="H72" s="6"/>
      <c r="I72" s="6"/>
      <c r="J72" s="6"/>
      <c r="K72" s="6"/>
      <c r="L72" s="6"/>
      <c r="M72" s="6"/>
      <c r="N72" s="6"/>
      <c r="O72" s="6"/>
      <c r="P72" s="6"/>
      <c r="Q72" s="6"/>
      <c r="R72" s="6"/>
      <c r="S72" s="28"/>
    </row>
    <row r="73" spans="2:19" x14ac:dyDescent="0.25">
      <c r="B73" s="5"/>
      <c r="C73" s="6"/>
      <c r="D73" s="6"/>
      <c r="E73" s="6"/>
      <c r="F73" s="6"/>
      <c r="G73" s="6"/>
      <c r="H73" s="6"/>
      <c r="I73" s="6"/>
      <c r="J73" s="6"/>
      <c r="K73" s="6"/>
      <c r="L73" s="6"/>
      <c r="M73" s="6"/>
      <c r="N73" s="6"/>
      <c r="O73" s="6"/>
      <c r="P73" s="6"/>
      <c r="Q73" s="6"/>
      <c r="R73" s="6"/>
      <c r="S73" s="28"/>
    </row>
    <row r="74" spans="2:19" x14ac:dyDescent="0.25">
      <c r="B74" s="5"/>
      <c r="C74" s="6"/>
      <c r="D74" s="6"/>
      <c r="E74" s="6"/>
      <c r="F74" s="6"/>
      <c r="G74" s="6"/>
      <c r="H74" s="6"/>
      <c r="I74" s="6"/>
      <c r="J74" s="6"/>
      <c r="K74" s="6"/>
      <c r="L74" s="6"/>
      <c r="M74" s="6"/>
      <c r="N74" s="6"/>
      <c r="O74" s="6"/>
      <c r="P74" s="6"/>
      <c r="Q74" s="6"/>
      <c r="R74" s="6"/>
      <c r="S74" s="28"/>
    </row>
    <row r="75" spans="2:19" x14ac:dyDescent="0.25">
      <c r="B75" s="5"/>
      <c r="C75" s="6"/>
      <c r="D75" s="6"/>
      <c r="E75" s="6"/>
      <c r="F75" s="6"/>
      <c r="G75" s="6"/>
      <c r="H75" s="6"/>
      <c r="I75" s="6"/>
      <c r="J75" s="6"/>
      <c r="K75" s="6"/>
      <c r="L75" s="6"/>
      <c r="M75" s="6"/>
      <c r="N75" s="6"/>
      <c r="O75" s="6"/>
      <c r="P75" s="6"/>
      <c r="Q75" s="6"/>
      <c r="R75" s="6"/>
      <c r="S75" s="28"/>
    </row>
    <row r="76" spans="2:19" x14ac:dyDescent="0.25">
      <c r="B76" s="5"/>
      <c r="C76" s="6"/>
      <c r="D76" s="552"/>
      <c r="E76" s="552"/>
      <c r="F76" s="552"/>
      <c r="G76" s="6"/>
      <c r="H76" s="552"/>
      <c r="I76" s="552"/>
      <c r="J76" s="552"/>
      <c r="K76" s="6"/>
      <c r="L76" s="6"/>
      <c r="M76" s="6"/>
      <c r="N76" s="6"/>
      <c r="O76" s="6"/>
      <c r="P76" s="6"/>
      <c r="Q76" s="6"/>
      <c r="R76" s="6"/>
      <c r="S76" s="28"/>
    </row>
    <row r="77" spans="2:19" x14ac:dyDescent="0.25">
      <c r="B77" s="5"/>
      <c r="C77" s="6"/>
      <c r="D77" s="6"/>
      <c r="E77" s="6"/>
      <c r="F77" s="6"/>
      <c r="G77" s="6"/>
      <c r="H77" s="6"/>
      <c r="I77" s="6"/>
      <c r="J77" s="6"/>
      <c r="K77" s="6"/>
      <c r="L77" s="6"/>
      <c r="M77" s="6"/>
      <c r="N77" s="6"/>
      <c r="O77" s="6"/>
      <c r="P77" s="6"/>
      <c r="Q77" s="6"/>
      <c r="R77" s="6"/>
      <c r="S77" s="28"/>
    </row>
    <row r="78" spans="2:19" x14ac:dyDescent="0.25">
      <c r="B78" s="5"/>
      <c r="C78" s="6"/>
      <c r="D78" s="6"/>
      <c r="E78" s="6"/>
      <c r="F78" s="6"/>
      <c r="G78" s="6"/>
      <c r="H78" s="6"/>
      <c r="I78" s="6"/>
      <c r="J78" s="6"/>
      <c r="K78" s="6"/>
      <c r="L78" s="6"/>
      <c r="M78" s="6"/>
      <c r="N78" s="6"/>
      <c r="O78" s="6"/>
      <c r="P78" s="6"/>
      <c r="Q78" s="6"/>
      <c r="R78" s="6"/>
      <c r="S78" s="28"/>
    </row>
    <row r="79" spans="2:19" x14ac:dyDescent="0.25">
      <c r="B79" s="5"/>
      <c r="C79" s="6"/>
      <c r="D79" s="6"/>
      <c r="E79" s="6"/>
      <c r="F79" s="6"/>
      <c r="G79" s="6"/>
      <c r="H79" s="6"/>
      <c r="I79" s="6"/>
      <c r="J79" s="6"/>
      <c r="K79" s="6"/>
      <c r="L79" s="6"/>
      <c r="M79" s="6"/>
      <c r="N79" s="6"/>
      <c r="O79" s="6"/>
      <c r="P79" s="6"/>
      <c r="Q79" s="6"/>
      <c r="R79" s="6"/>
      <c r="S79" s="28"/>
    </row>
    <row r="80" spans="2:19" x14ac:dyDescent="0.25">
      <c r="B80" s="72"/>
      <c r="C80" s="73"/>
      <c r="D80" s="73"/>
      <c r="E80" s="73"/>
      <c r="F80" s="73"/>
      <c r="G80" s="73"/>
      <c r="H80" s="73"/>
      <c r="I80" s="73"/>
      <c r="J80" s="73"/>
      <c r="K80" s="73"/>
      <c r="L80" s="73"/>
      <c r="M80" s="73"/>
      <c r="N80" s="73"/>
      <c r="O80" s="73"/>
      <c r="P80" s="73"/>
      <c r="Q80" s="73"/>
      <c r="R80" s="73"/>
      <c r="S80" s="97"/>
    </row>
  </sheetData>
  <sheetProtection algorithmName="SHA-512" hashValue="Ly+SBXLVJPC2DESAkv18s5e9WSSz4ZyqFq8tNOEUuNIXj0MOA2NpgvYjQ91XvffGY/hOTTPtWuiyAu7Tbuz8AQ==" saltValue="UOVOST+pSYL1nza0sk7BSg==" spinCount="100000" sheet="1" objects="1" scenarios="1"/>
  <mergeCells count="33">
    <mergeCell ref="N17:R17"/>
    <mergeCell ref="D11:F11"/>
    <mergeCell ref="G11:H11"/>
    <mergeCell ref="I11:J11"/>
    <mergeCell ref="L11:N11"/>
    <mergeCell ref="O11:P11"/>
    <mergeCell ref="Q11:R11"/>
    <mergeCell ref="D12:F12"/>
    <mergeCell ref="G12:H12"/>
    <mergeCell ref="I12:J12"/>
    <mergeCell ref="O12:P12"/>
    <mergeCell ref="Q12:R12"/>
    <mergeCell ref="C41:E41"/>
    <mergeCell ref="N18:R18"/>
    <mergeCell ref="N19:R19"/>
    <mergeCell ref="N20:R20"/>
    <mergeCell ref="C33:E33"/>
    <mergeCell ref="I33:K33"/>
    <mergeCell ref="C35:E35"/>
    <mergeCell ref="F35:G35"/>
    <mergeCell ref="C37:E37"/>
    <mergeCell ref="C39:E39"/>
    <mergeCell ref="N39:Q39"/>
    <mergeCell ref="I40:K40"/>
    <mergeCell ref="L40:O40"/>
    <mergeCell ref="D76:F76"/>
    <mergeCell ref="H76:J76"/>
    <mergeCell ref="I42:L42"/>
    <mergeCell ref="C43:E43"/>
    <mergeCell ref="I43:K43"/>
    <mergeCell ref="C48:E48"/>
    <mergeCell ref="F48:G48"/>
    <mergeCell ref="F50:G50"/>
  </mergeCells>
  <dataValidations count="3">
    <dataValidation type="list" allowBlank="1" showInputMessage="1" showErrorMessage="1" sqref="F35:G35">
      <formula1>$U$29:$U$30</formula1>
    </dataValidation>
    <dataValidation type="list" allowBlank="1" showInputMessage="1" showErrorMessage="1" sqref="F43">
      <formula1>$U$33:$U$35</formula1>
    </dataValidation>
    <dataValidation type="list" allowBlank="1" showInputMessage="1" showErrorMessage="1" sqref="I33:K33">
      <formula1>$U$38:$U$40</formula1>
    </dataValidation>
  </dataValidations>
  <hyperlinks>
    <hyperlink ref="S3" r:id="rId1" display="Curtain Wall Transom Help"/>
  </hyperlinks>
  <pageMargins left="0.7" right="0.7" top="0.75" bottom="0.75" header="0.3" footer="0.3"/>
  <pageSetup paperSize="9" orientation="portrait"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Navigation Page</vt:lpstr>
      <vt:lpstr>6399 S</vt:lpstr>
      <vt:lpstr>BS6399-2 Standard Method</vt:lpstr>
      <vt:lpstr>4-35 &amp; 5-35 Window Mullion</vt:lpstr>
      <vt:lpstr>Sheet1 (2)</vt:lpstr>
      <vt:lpstr>4-35 &amp; 5-35 Window Transom</vt:lpstr>
      <vt:lpstr>CW Mullion Single Span</vt:lpstr>
      <vt:lpstr>CW Mullion Twin Span</vt:lpstr>
      <vt:lpstr>CW Transom</vt:lpstr>
      <vt:lpstr>Direction</vt:lpstr>
      <vt:lpstr>Place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r.edmondson</dc:creator>
  <cp:lastModifiedBy>Connor Corry</cp:lastModifiedBy>
  <cp:lastPrinted>2012-10-23T09:28:36Z</cp:lastPrinted>
  <dcterms:created xsi:type="dcterms:W3CDTF">2012-10-12T12:45:29Z</dcterms:created>
  <dcterms:modified xsi:type="dcterms:W3CDTF">2015-09-04T11:36:13Z</dcterms:modified>
</cp:coreProperties>
</file>